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e5bmkwp29esr22_00c4\msg\file\2026-09\"/>
    </mc:Choice>
  </mc:AlternateContent>
  <bookViews>
    <workbookView windowWidth="27945" windowHeight="12375"/>
  </bookViews>
  <sheets>
    <sheet name="Sheet2" sheetId="2" r:id="rId1"/>
  </sheets>
  <definedNames>
    <definedName name="_xlnm._FilterDatabase" localSheetId="0" hidden="1">Sheet2!$A$3:$P$77</definedName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<sst xmlns="http://schemas.openxmlformats.org/spreadsheetml/2006/main" count="525" uniqueCount="138">
  <si>
    <t>附件：</t>
  </si>
  <si>
    <t>松桃苗族自治县2026年公开招聘教师体检合格进入选岗人员名单</t>
  </si>
  <si>
    <t>序号</t>
  </si>
  <si>
    <t>姓名</t>
  </si>
  <si>
    <t>性别</t>
  </si>
  <si>
    <t>报考岗位</t>
  </si>
  <si>
    <t>报考岗位代码</t>
  </si>
  <si>
    <t>招考单位名称</t>
  </si>
  <si>
    <t>笔试成绩</t>
  </si>
  <si>
    <t>百分制笔试成绩*50%</t>
  </si>
  <si>
    <t>面试成绩</t>
  </si>
  <si>
    <t>百分制面试成绩*50%</t>
  </si>
  <si>
    <t>总成绩</t>
  </si>
  <si>
    <t>名次</t>
  </si>
  <si>
    <t>抽签号</t>
  </si>
  <si>
    <t>体检结果</t>
  </si>
  <si>
    <t>是否进入选岗</t>
  </si>
  <si>
    <t>备注</t>
  </si>
  <si>
    <t>高中数学教师</t>
  </si>
  <si>
    <t>A2</t>
  </si>
  <si>
    <t>松桃自治苗族自治县第三高级中学</t>
  </si>
  <si>
    <t>1</t>
  </si>
  <si>
    <t>2</t>
  </si>
  <si>
    <t>合格</t>
  </si>
  <si>
    <t>否</t>
  </si>
  <si>
    <t>为具体岗位，无需选岗</t>
  </si>
  <si>
    <t>14</t>
  </si>
  <si>
    <t>高中物理教师</t>
  </si>
  <si>
    <t>A4</t>
  </si>
  <si>
    <t>松桃自治苗族自治县高中学校（物理）</t>
  </si>
  <si>
    <t>3</t>
  </si>
  <si>
    <t>是</t>
  </si>
  <si>
    <t>高中化学教师</t>
  </si>
  <si>
    <t>A5</t>
  </si>
  <si>
    <t>松桃自治苗族自治县高中学校（化学）</t>
  </si>
  <si>
    <t>16</t>
  </si>
  <si>
    <t>6</t>
  </si>
  <si>
    <t>17</t>
  </si>
  <si>
    <t>高中英语教师</t>
  </si>
  <si>
    <t>A3</t>
  </si>
  <si>
    <t>松桃自治苗族自治县高中学校（英语）</t>
  </si>
  <si>
    <t>13</t>
  </si>
  <si>
    <t>小学英语教师</t>
  </si>
  <si>
    <t>C5</t>
  </si>
  <si>
    <t>松桃自治苗族自治县小学（英语）</t>
  </si>
  <si>
    <t>4</t>
  </si>
  <si>
    <t>15</t>
  </si>
  <si>
    <t>19</t>
  </si>
  <si>
    <t>高中语文教师</t>
  </si>
  <si>
    <t>A1</t>
  </si>
  <si>
    <t>松桃自治苗族自治县第六中学</t>
  </si>
  <si>
    <t>8</t>
  </si>
  <si>
    <t>初中语文教师</t>
  </si>
  <si>
    <t>B1</t>
  </si>
  <si>
    <t>松桃自治苗族自治县初中学校（语文）</t>
  </si>
  <si>
    <t>20</t>
  </si>
  <si>
    <t>18</t>
  </si>
  <si>
    <t>11</t>
  </si>
  <si>
    <t>7</t>
  </si>
  <si>
    <t>5</t>
  </si>
  <si>
    <t>10</t>
  </si>
  <si>
    <t>初中英语教师</t>
  </si>
  <si>
    <t>B3</t>
  </si>
  <si>
    <t>松桃自治苗族自治县初中学校（英语）</t>
  </si>
  <si>
    <t>9</t>
  </si>
  <si>
    <t>34</t>
  </si>
  <si>
    <t>24</t>
  </si>
  <si>
    <t>39</t>
  </si>
  <si>
    <t>28</t>
  </si>
  <si>
    <t>37</t>
  </si>
  <si>
    <t>35</t>
  </si>
  <si>
    <t>33</t>
  </si>
  <si>
    <t>22</t>
  </si>
  <si>
    <t>初中物理教师</t>
  </si>
  <si>
    <t>B4</t>
  </si>
  <si>
    <t>松桃自治苗族自治县初中学校（物理）</t>
  </si>
  <si>
    <t>40</t>
  </si>
  <si>
    <t>31</t>
  </si>
  <si>
    <t>25</t>
  </si>
  <si>
    <t>29</t>
  </si>
  <si>
    <t>32</t>
  </si>
  <si>
    <t>初中体育教师</t>
  </si>
  <si>
    <t>B7</t>
  </si>
  <si>
    <t>松桃自治苗族自治县初中学校（体育）</t>
  </si>
  <si>
    <t>26</t>
  </si>
  <si>
    <t>30</t>
  </si>
  <si>
    <t>27</t>
  </si>
  <si>
    <t>初中道德与法治教师</t>
  </si>
  <si>
    <t>B5</t>
  </si>
  <si>
    <t>松桃自治苗族自治县初中学校（道德与法治）</t>
  </si>
  <si>
    <t>65</t>
  </si>
  <si>
    <t>45</t>
  </si>
  <si>
    <t>57</t>
  </si>
  <si>
    <t>74</t>
  </si>
  <si>
    <t>初中历史教师</t>
  </si>
  <si>
    <t>B6</t>
  </si>
  <si>
    <t>松桃自治苗族自治县初中学校（历史）</t>
  </si>
  <si>
    <t>54</t>
  </si>
  <si>
    <t>67</t>
  </si>
  <si>
    <t>68</t>
  </si>
  <si>
    <t>小学语文教师</t>
  </si>
  <si>
    <t>C1</t>
  </si>
  <si>
    <t>松桃自治苗族自治县小学（语文一）</t>
  </si>
  <si>
    <t>58</t>
  </si>
  <si>
    <t>61</t>
  </si>
  <si>
    <t>38</t>
  </si>
  <si>
    <t>56</t>
  </si>
  <si>
    <t>72</t>
  </si>
  <si>
    <t>66</t>
  </si>
  <si>
    <t>C2</t>
  </si>
  <si>
    <t>松桃自治苗族自治县小学（语文二）</t>
  </si>
  <si>
    <t>71</t>
  </si>
  <si>
    <t>21</t>
  </si>
  <si>
    <t>59</t>
  </si>
  <si>
    <t>63</t>
  </si>
  <si>
    <t>52</t>
  </si>
  <si>
    <t>43</t>
  </si>
  <si>
    <t>小学数学教师</t>
  </si>
  <si>
    <t>C3</t>
  </si>
  <si>
    <t>松桃自治苗族自治县小学（数学一）</t>
  </si>
  <si>
    <t>C4</t>
  </si>
  <si>
    <t>松桃自治苗族自治县小学（数学二）</t>
  </si>
  <si>
    <t>69</t>
  </si>
  <si>
    <t>76</t>
  </si>
  <si>
    <t>46</t>
  </si>
  <si>
    <t>70</t>
  </si>
  <si>
    <t>60</t>
  </si>
  <si>
    <t>55</t>
  </si>
  <si>
    <t>44</t>
  </si>
  <si>
    <t>初中数学教师</t>
  </si>
  <si>
    <t>B2</t>
  </si>
  <si>
    <t>松桃自治苗族自治县初中学校（数学）</t>
  </si>
  <si>
    <t>42</t>
  </si>
  <si>
    <t>53</t>
  </si>
  <si>
    <t>49</t>
  </si>
  <si>
    <t>73</t>
  </si>
  <si>
    <t>41</t>
  </si>
  <si>
    <t>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</si>
</sst>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);[Red]\(0.0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sz val="24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6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177" fontId="1" fillId="0" borderId="0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1" fillId="0" borderId="0" xfId="0" applyFont="1" applyFill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177" fontId="5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 applyProtection="1">
      <alignment horizontal="center" vertical="center" wrapText="1"/>
    </xf>
    <xf numFmtId="177" fontId="1" fillId="0" borderId="2" xfId="0" applyNumberFormat="1" applyFont="1" applyFill="1" applyBorder="1" applyAlignment="1" applyProtection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7"/>
  <sheetViews>
    <sheetView tabSelected="1" workbookViewId="0">
      <selection activeCell="A2" sqref="A2:P2"/>
    </sheetView>
  </sheetViews>
  <sheetFormatPr defaultColWidth="7.7" defaultRowHeight="14.25"/>
  <cols>
    <col min="1" max="1" width="6.4" style="2" customWidth="1"/>
    <col min="2" max="2" width="7.25" style="2" customWidth="1"/>
    <col min="3" max="3" width="6.25" style="2" customWidth="1"/>
    <col min="4" max="4" width="14.375" style="2" customWidth="1"/>
    <col min="5" max="5" width="7.25" style="2" customWidth="1"/>
    <col min="6" max="6" width="22.5" style="4" customWidth="1"/>
    <col min="7" max="7" width="11.25" style="5" customWidth="1"/>
    <col min="8" max="8" width="8.75" style="1" customWidth="1"/>
    <col min="9" max="9" width="10.25" style="6" customWidth="1"/>
    <col min="10" max="10" width="11.5" style="7" customWidth="1"/>
    <col min="11" max="11" width="10" style="8" customWidth="1"/>
    <col min="12" max="13" width="8.625" style="9" customWidth="1"/>
    <col min="14" max="14" width="10.125" style="9" customWidth="1"/>
    <col min="15" max="15" width="8.625" style="10" customWidth="1"/>
    <col min="16" max="16" width="15.75" style="2" customWidth="1"/>
    <col min="17" max="193" width="7.7" style="2" customWidth="1"/>
    <col min="194" max="16383" width="7.7" style="2"/>
    <col min="16384" max="16384" width="7.7" style="11"/>
  </cols>
  <sheetData>
    <row r="1" s="1" customFormat="1" spans="1:16">
      <c r="A1" s="2" t="s">
        <v>0</v>
      </c>
      <c r="B1" s="2"/>
      <c r="C1" s="2"/>
      <c r="D1" s="2"/>
      <c r="E1" s="2"/>
      <c r="F1" s="4"/>
      <c r="G1" s="5"/>
    </row>
    <row r="2" s="2" customFormat="1" ht="63" customHeight="1" spans="1:16">
      <c r="A2" s="12" t="s">
        <v>1</v>
      </c>
      <c r="B2" s="13"/>
      <c r="C2" s="13"/>
      <c r="D2" s="13"/>
      <c r="E2" s="13"/>
      <c r="F2" s="13"/>
      <c r="G2" s="14"/>
      <c r="H2" s="13"/>
      <c r="I2" s="14"/>
      <c r="J2" s="13"/>
      <c r="K2" s="13"/>
      <c r="L2" s="13"/>
      <c r="M2" s="13"/>
      <c r="N2" s="13"/>
      <c r="O2" s="13"/>
      <c r="P2" s="13"/>
    </row>
    <row r="3" s="3" customFormat="1" ht="48" customHeight="1" spans="1:16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6" t="s">
        <v>8</v>
      </c>
      <c r="H3" s="15" t="s">
        <v>9</v>
      </c>
      <c r="I3" s="16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5" t="s">
        <v>16</v>
      </c>
      <c r="P3" s="15" t="s">
        <v>17</v>
      </c>
    </row>
    <row r="4" s="4" customFormat="1" ht="42" customHeight="1" spans="1:16">
      <c r="A4" s="17">
        <v>1</v>
      </c>
      <c r="B4" s="18" t="str">
        <f>"李珎林"</f>
        <v>李珎林</v>
      </c>
      <c r="C4" s="18" t="str">
        <f>"男"</f>
        <v>男</v>
      </c>
      <c r="D4" s="19" t="s">
        <v>18</v>
      </c>
      <c r="E4" s="17" t="s">
        <v>19</v>
      </c>
      <c r="F4" s="19" t="s">
        <v>20</v>
      </c>
      <c r="G4" s="20">
        <v>69.75</v>
      </c>
      <c r="H4" s="20">
        <f t="shared" ref="H4:H57" si="0">G4*0.5</f>
        <v>34.875</v>
      </c>
      <c r="I4" s="21">
        <v>82.97</v>
      </c>
      <c r="J4" s="22">
        <f t="shared" ref="J4:J23" si="1">I4*0.5</f>
        <v>41.485</v>
      </c>
      <c r="K4" s="20">
        <f t="shared" ref="K4:K57" si="2">H4+J4</f>
        <v>76.36</v>
      </c>
      <c r="L4" s="23" t="s">
        <v>21</v>
      </c>
      <c r="M4" s="23" t="s">
        <v>22</v>
      </c>
      <c r="N4" s="23" t="s">
        <v>23</v>
      </c>
      <c r="O4" s="23" t="s">
        <v>24</v>
      </c>
      <c r="P4" s="17" t="s">
        <v>25</v>
      </c>
    </row>
    <row r="5" s="4" customFormat="1" ht="42" customHeight="1" spans="1:16">
      <c r="A5" s="17">
        <v>2</v>
      </c>
      <c r="B5" s="18" t="str">
        <f>"郑红红"</f>
        <v>郑红红</v>
      </c>
      <c r="C5" s="18" t="str">
        <f>"男"</f>
        <v>男</v>
      </c>
      <c r="D5" s="24" t="s">
        <v>18</v>
      </c>
      <c r="E5" s="17" t="s">
        <v>19</v>
      </c>
      <c r="F5" s="24" t="s">
        <v>20</v>
      </c>
      <c r="G5" s="20">
        <v>69.1</v>
      </c>
      <c r="H5" s="20">
        <f t="shared" si="0"/>
        <v>34.55</v>
      </c>
      <c r="I5" s="21">
        <v>83.13</v>
      </c>
      <c r="J5" s="22">
        <f t="shared" si="1"/>
        <v>41.565</v>
      </c>
      <c r="K5" s="20">
        <f t="shared" si="2"/>
        <v>76.115</v>
      </c>
      <c r="L5" s="23" t="s">
        <v>22</v>
      </c>
      <c r="M5" s="23" t="s">
        <v>26</v>
      </c>
      <c r="N5" s="23" t="s">
        <v>23</v>
      </c>
      <c r="O5" s="23" t="s">
        <v>24</v>
      </c>
      <c r="P5" s="17" t="s">
        <v>25</v>
      </c>
    </row>
    <row r="6" s="4" customFormat="1" ht="42" customHeight="1" spans="1:16">
      <c r="A6" s="17">
        <v>3</v>
      </c>
      <c r="B6" s="18" t="str">
        <f>"雷胜凤"</f>
        <v>雷胜凤</v>
      </c>
      <c r="C6" s="18" t="str">
        <f>"女"</f>
        <v>女</v>
      </c>
      <c r="D6" s="24" t="s">
        <v>27</v>
      </c>
      <c r="E6" s="17" t="s">
        <v>28</v>
      </c>
      <c r="F6" s="24" t="s">
        <v>29</v>
      </c>
      <c r="G6" s="20">
        <v>64.99</v>
      </c>
      <c r="H6" s="20">
        <f t="shared" si="0"/>
        <v>32.495</v>
      </c>
      <c r="I6" s="21">
        <v>81.6</v>
      </c>
      <c r="J6" s="22">
        <f t="shared" si="1"/>
        <v>40.8</v>
      </c>
      <c r="K6" s="20">
        <f t="shared" si="2"/>
        <v>73.295</v>
      </c>
      <c r="L6" s="23" t="s">
        <v>21</v>
      </c>
      <c r="M6" s="23" t="s">
        <v>30</v>
      </c>
      <c r="N6" s="23" t="s">
        <v>23</v>
      </c>
      <c r="O6" s="23" t="s">
        <v>31</v>
      </c>
      <c r="P6" s="17"/>
    </row>
    <row r="7" s="4" customFormat="1" ht="42" customHeight="1" spans="1:16">
      <c r="A7" s="17">
        <v>4</v>
      </c>
      <c r="B7" s="18" t="str">
        <f>"李彩霞"</f>
        <v>李彩霞</v>
      </c>
      <c r="C7" s="18" t="str">
        <f>"女"</f>
        <v>女</v>
      </c>
      <c r="D7" s="24" t="s">
        <v>27</v>
      </c>
      <c r="E7" s="17" t="s">
        <v>28</v>
      </c>
      <c r="F7" s="24" t="s">
        <v>29</v>
      </c>
      <c r="G7" s="20">
        <v>60.8</v>
      </c>
      <c r="H7" s="20">
        <f t="shared" si="0"/>
        <v>30.4</v>
      </c>
      <c r="I7" s="21">
        <v>80.09</v>
      </c>
      <c r="J7" s="22">
        <f t="shared" si="1"/>
        <v>40.045</v>
      </c>
      <c r="K7" s="20">
        <f t="shared" si="2"/>
        <v>70.445</v>
      </c>
      <c r="L7" s="23" t="s">
        <v>22</v>
      </c>
      <c r="M7" s="23" t="s">
        <v>21</v>
      </c>
      <c r="N7" s="23" t="s">
        <v>23</v>
      </c>
      <c r="O7" s="23" t="s">
        <v>31</v>
      </c>
      <c r="P7" s="17"/>
    </row>
    <row r="8" s="4" customFormat="1" ht="42" customHeight="1" spans="1:16">
      <c r="A8" s="17">
        <v>5</v>
      </c>
      <c r="B8" s="18" t="str">
        <f>"马润颜"</f>
        <v>马润颜</v>
      </c>
      <c r="C8" s="18" t="str">
        <f>"女"</f>
        <v>女</v>
      </c>
      <c r="D8" s="24" t="s">
        <v>32</v>
      </c>
      <c r="E8" s="17" t="s">
        <v>33</v>
      </c>
      <c r="F8" s="24" t="s">
        <v>34</v>
      </c>
      <c r="G8" s="20">
        <v>80.78</v>
      </c>
      <c r="H8" s="20">
        <f t="shared" si="0"/>
        <v>40.39</v>
      </c>
      <c r="I8" s="21">
        <v>84.15</v>
      </c>
      <c r="J8" s="22">
        <f t="shared" si="1"/>
        <v>42.075</v>
      </c>
      <c r="K8" s="20">
        <f t="shared" si="2"/>
        <v>82.465</v>
      </c>
      <c r="L8" s="23" t="s">
        <v>21</v>
      </c>
      <c r="M8" s="23" t="s">
        <v>35</v>
      </c>
      <c r="N8" s="23" t="s">
        <v>23</v>
      </c>
      <c r="O8" s="23" t="s">
        <v>31</v>
      </c>
      <c r="P8" s="17"/>
    </row>
    <row r="9" s="4" customFormat="1" ht="42" customHeight="1" spans="1:16">
      <c r="A9" s="17">
        <v>6</v>
      </c>
      <c r="B9" s="18" t="str">
        <f>"杨政飘"</f>
        <v>杨政飘</v>
      </c>
      <c r="C9" s="18" t="str">
        <f>"男"</f>
        <v>男</v>
      </c>
      <c r="D9" s="25" t="s">
        <v>32</v>
      </c>
      <c r="E9" s="17" t="s">
        <v>33</v>
      </c>
      <c r="F9" s="24" t="s">
        <v>34</v>
      </c>
      <c r="G9" s="20">
        <v>80.78</v>
      </c>
      <c r="H9" s="20">
        <f t="shared" si="0"/>
        <v>40.39</v>
      </c>
      <c r="I9" s="21">
        <v>83.58</v>
      </c>
      <c r="J9" s="22">
        <f t="shared" si="1"/>
        <v>41.79</v>
      </c>
      <c r="K9" s="20">
        <f t="shared" si="2"/>
        <v>82.18</v>
      </c>
      <c r="L9" s="23" t="s">
        <v>22</v>
      </c>
      <c r="M9" s="23" t="s">
        <v>36</v>
      </c>
      <c r="N9" s="23" t="s">
        <v>23</v>
      </c>
      <c r="O9" s="23" t="s">
        <v>31</v>
      </c>
      <c r="P9" s="17"/>
    </row>
    <row r="10" s="4" customFormat="1" ht="42" customHeight="1" spans="1:16">
      <c r="A10" s="17">
        <v>7</v>
      </c>
      <c r="B10" s="18" t="str">
        <f>"熊文芝"</f>
        <v>熊文芝</v>
      </c>
      <c r="C10" s="18" t="str">
        <f>"女"</f>
        <v>女</v>
      </c>
      <c r="D10" s="24" t="s">
        <v>32</v>
      </c>
      <c r="E10" s="17" t="s">
        <v>33</v>
      </c>
      <c r="F10" s="24" t="s">
        <v>34</v>
      </c>
      <c r="G10" s="20">
        <v>81.28</v>
      </c>
      <c r="H10" s="20">
        <f t="shared" si="0"/>
        <v>40.64</v>
      </c>
      <c r="I10" s="21">
        <v>82.24</v>
      </c>
      <c r="J10" s="22">
        <f t="shared" si="1"/>
        <v>41.12</v>
      </c>
      <c r="K10" s="20">
        <f t="shared" si="2"/>
        <v>81.76</v>
      </c>
      <c r="L10" s="23" t="s">
        <v>30</v>
      </c>
      <c r="M10" s="23" t="s">
        <v>37</v>
      </c>
      <c r="N10" s="23" t="s">
        <v>23</v>
      </c>
      <c r="O10" s="23" t="s">
        <v>31</v>
      </c>
      <c r="P10" s="17"/>
    </row>
    <row r="11" s="4" customFormat="1" ht="42" customHeight="1" spans="1:16">
      <c r="A11" s="17">
        <v>8</v>
      </c>
      <c r="B11" s="18" t="str">
        <f>"任娅玲"</f>
        <v>任娅玲</v>
      </c>
      <c r="C11" s="18" t="str">
        <f>"女"</f>
        <v>女</v>
      </c>
      <c r="D11" s="25" t="s">
        <v>38</v>
      </c>
      <c r="E11" s="17" t="s">
        <v>39</v>
      </c>
      <c r="F11" s="26" t="s">
        <v>40</v>
      </c>
      <c r="G11" s="20">
        <v>82.86</v>
      </c>
      <c r="H11" s="20">
        <f t="shared" si="0"/>
        <v>41.43</v>
      </c>
      <c r="I11" s="21">
        <v>83.83</v>
      </c>
      <c r="J11" s="22">
        <f t="shared" si="1"/>
        <v>41.915</v>
      </c>
      <c r="K11" s="20">
        <f t="shared" si="2"/>
        <v>83.345</v>
      </c>
      <c r="L11" s="23" t="s">
        <v>22</v>
      </c>
      <c r="M11" s="23" t="s">
        <v>41</v>
      </c>
      <c r="N11" s="23" t="s">
        <v>23</v>
      </c>
      <c r="O11" s="23" t="s">
        <v>31</v>
      </c>
      <c r="P11" s="17"/>
    </row>
    <row r="12" s="4" customFormat="1" ht="42" customHeight="1" spans="1:16">
      <c r="A12" s="17">
        <v>9</v>
      </c>
      <c r="B12" s="18" t="str">
        <f>"王丹"</f>
        <v>王丹</v>
      </c>
      <c r="C12" s="18" t="str">
        <f>"女"</f>
        <v>女</v>
      </c>
      <c r="D12" s="25" t="s">
        <v>42</v>
      </c>
      <c r="E12" s="17" t="s">
        <v>43</v>
      </c>
      <c r="F12" s="27" t="s">
        <v>44</v>
      </c>
      <c r="G12" s="20">
        <v>73.75</v>
      </c>
      <c r="H12" s="20">
        <f t="shared" si="0"/>
        <v>36.875</v>
      </c>
      <c r="I12" s="21">
        <v>86.11</v>
      </c>
      <c r="J12" s="22">
        <f t="shared" si="1"/>
        <v>43.055</v>
      </c>
      <c r="K12" s="20">
        <f t="shared" si="2"/>
        <v>79.93</v>
      </c>
      <c r="L12" s="23" t="s">
        <v>21</v>
      </c>
      <c r="M12" s="23" t="s">
        <v>45</v>
      </c>
      <c r="N12" s="23" t="s">
        <v>23</v>
      </c>
      <c r="O12" s="23" t="s">
        <v>31</v>
      </c>
      <c r="P12" s="17"/>
    </row>
    <row r="13" s="4" customFormat="1" ht="42" customHeight="1" spans="1:16">
      <c r="A13" s="17">
        <v>10</v>
      </c>
      <c r="B13" s="18" t="str">
        <f>"代旭敏"</f>
        <v>代旭敏</v>
      </c>
      <c r="C13" s="18" t="str">
        <f>"女"</f>
        <v>女</v>
      </c>
      <c r="D13" s="25" t="s">
        <v>42</v>
      </c>
      <c r="E13" s="17" t="s">
        <v>43</v>
      </c>
      <c r="F13" s="27" t="s">
        <v>44</v>
      </c>
      <c r="G13" s="20">
        <v>73.05</v>
      </c>
      <c r="H13" s="20">
        <f t="shared" si="0"/>
        <v>36.525</v>
      </c>
      <c r="I13" s="21">
        <v>85.85</v>
      </c>
      <c r="J13" s="22">
        <f t="shared" si="1"/>
        <v>42.925</v>
      </c>
      <c r="K13" s="20">
        <f t="shared" si="2"/>
        <v>79.45</v>
      </c>
      <c r="L13" s="23" t="s">
        <v>22</v>
      </c>
      <c r="M13" s="23" t="s">
        <v>46</v>
      </c>
      <c r="N13" s="23" t="s">
        <v>23</v>
      </c>
      <c r="O13" s="23" t="s">
        <v>31</v>
      </c>
      <c r="P13" s="17"/>
    </row>
    <row r="14" s="4" customFormat="1" ht="42" customHeight="1" spans="1:16">
      <c r="A14" s="17">
        <v>11</v>
      </c>
      <c r="B14" s="18" t="str">
        <f>"金顺琴"</f>
        <v>金顺琴</v>
      </c>
      <c r="C14" s="18" t="str">
        <f>"女"</f>
        <v>女</v>
      </c>
      <c r="D14" s="25" t="s">
        <v>42</v>
      </c>
      <c r="E14" s="17" t="s">
        <v>43</v>
      </c>
      <c r="F14" s="27" t="s">
        <v>44</v>
      </c>
      <c r="G14" s="20">
        <v>77.3</v>
      </c>
      <c r="H14" s="20">
        <f t="shared" si="0"/>
        <v>38.65</v>
      </c>
      <c r="I14" s="21">
        <v>80.75</v>
      </c>
      <c r="J14" s="22">
        <f t="shared" si="1"/>
        <v>40.375</v>
      </c>
      <c r="K14" s="20">
        <f t="shared" si="2"/>
        <v>79.025</v>
      </c>
      <c r="L14" s="23" t="s">
        <v>30</v>
      </c>
      <c r="M14" s="23" t="s">
        <v>47</v>
      </c>
      <c r="N14" s="23" t="s">
        <v>23</v>
      </c>
      <c r="O14" s="23" t="s">
        <v>31</v>
      </c>
      <c r="P14" s="17"/>
    </row>
    <row r="15" s="4" customFormat="1" ht="42" customHeight="1" spans="1:16">
      <c r="A15" s="17">
        <v>12</v>
      </c>
      <c r="B15" s="18" t="str">
        <f>"吴泽君"</f>
        <v>吴泽君</v>
      </c>
      <c r="C15" s="18" t="str">
        <f>"男"</f>
        <v>男</v>
      </c>
      <c r="D15" s="25" t="s">
        <v>48</v>
      </c>
      <c r="E15" s="17" t="s">
        <v>49</v>
      </c>
      <c r="F15" s="26" t="s">
        <v>50</v>
      </c>
      <c r="G15" s="21">
        <v>67.25</v>
      </c>
      <c r="H15" s="20">
        <f t="shared" si="0"/>
        <v>33.625</v>
      </c>
      <c r="I15" s="21">
        <v>83.56</v>
      </c>
      <c r="J15" s="22">
        <f t="shared" si="1"/>
        <v>41.78</v>
      </c>
      <c r="K15" s="20">
        <f t="shared" si="2"/>
        <v>75.405</v>
      </c>
      <c r="L15" s="23" t="s">
        <v>21</v>
      </c>
      <c r="M15" s="23" t="s">
        <v>51</v>
      </c>
      <c r="N15" s="23" t="s">
        <v>23</v>
      </c>
      <c r="O15" s="23" t="s">
        <v>24</v>
      </c>
      <c r="P15" s="17" t="s">
        <v>25</v>
      </c>
    </row>
    <row r="16" s="4" customFormat="1" ht="42" customHeight="1" spans="1:16">
      <c r="A16" s="17">
        <v>13</v>
      </c>
      <c r="B16" s="18" t="str">
        <f>"魏倩"</f>
        <v>魏倩</v>
      </c>
      <c r="C16" s="18" t="str">
        <f t="shared" ref="C16:C26" si="3">"女"</f>
        <v>女</v>
      </c>
      <c r="D16" s="25" t="s">
        <v>52</v>
      </c>
      <c r="E16" s="17" t="s">
        <v>53</v>
      </c>
      <c r="F16" s="26" t="s">
        <v>54</v>
      </c>
      <c r="G16" s="21">
        <v>78</v>
      </c>
      <c r="H16" s="20">
        <f t="shared" si="0"/>
        <v>39</v>
      </c>
      <c r="I16" s="21">
        <v>85.28</v>
      </c>
      <c r="J16" s="22">
        <f t="shared" si="1"/>
        <v>42.64</v>
      </c>
      <c r="K16" s="20">
        <f t="shared" si="2"/>
        <v>81.64</v>
      </c>
      <c r="L16" s="23" t="s">
        <v>21</v>
      </c>
      <c r="M16" s="23" t="s">
        <v>55</v>
      </c>
      <c r="N16" s="23" t="s">
        <v>23</v>
      </c>
      <c r="O16" s="23" t="s">
        <v>31</v>
      </c>
      <c r="P16" s="17"/>
    </row>
    <row r="17" s="4" customFormat="1" ht="42" customHeight="1" spans="1:16">
      <c r="A17" s="17">
        <v>14</v>
      </c>
      <c r="B17" s="18" t="str">
        <f>"张凤"</f>
        <v>张凤</v>
      </c>
      <c r="C17" s="18" t="str">
        <f t="shared" si="3"/>
        <v>女</v>
      </c>
      <c r="D17" s="25" t="s">
        <v>52</v>
      </c>
      <c r="E17" s="17" t="s">
        <v>53</v>
      </c>
      <c r="F17" s="26" t="s">
        <v>54</v>
      </c>
      <c r="G17" s="21">
        <v>75.5</v>
      </c>
      <c r="H17" s="20">
        <f t="shared" si="0"/>
        <v>37.75</v>
      </c>
      <c r="I17" s="21">
        <v>84.63</v>
      </c>
      <c r="J17" s="22">
        <f t="shared" si="1"/>
        <v>42.315</v>
      </c>
      <c r="K17" s="20">
        <f t="shared" si="2"/>
        <v>80.065</v>
      </c>
      <c r="L17" s="23" t="s">
        <v>22</v>
      </c>
      <c r="M17" s="23" t="s">
        <v>56</v>
      </c>
      <c r="N17" s="23" t="s">
        <v>23</v>
      </c>
      <c r="O17" s="23" t="s">
        <v>31</v>
      </c>
      <c r="P17" s="17"/>
    </row>
    <row r="18" s="4" customFormat="1" ht="42" customHeight="1" spans="1:16">
      <c r="A18" s="17">
        <v>15</v>
      </c>
      <c r="B18" s="18" t="str">
        <f>"罗小婵"</f>
        <v>罗小婵</v>
      </c>
      <c r="C18" s="18" t="str">
        <f t="shared" si="3"/>
        <v>女</v>
      </c>
      <c r="D18" s="25" t="s">
        <v>52</v>
      </c>
      <c r="E18" s="17" t="s">
        <v>53</v>
      </c>
      <c r="F18" s="26" t="s">
        <v>54</v>
      </c>
      <c r="G18" s="21">
        <v>76</v>
      </c>
      <c r="H18" s="20">
        <f t="shared" si="0"/>
        <v>38</v>
      </c>
      <c r="I18" s="21">
        <v>83.6</v>
      </c>
      <c r="J18" s="22">
        <f t="shared" si="1"/>
        <v>41.8</v>
      </c>
      <c r="K18" s="20">
        <f t="shared" si="2"/>
        <v>79.8</v>
      </c>
      <c r="L18" s="23" t="s">
        <v>30</v>
      </c>
      <c r="M18" s="23" t="s">
        <v>57</v>
      </c>
      <c r="N18" s="23" t="s">
        <v>23</v>
      </c>
      <c r="O18" s="23" t="s">
        <v>31</v>
      </c>
      <c r="P18" s="17"/>
    </row>
    <row r="19" s="4" customFormat="1" ht="42" customHeight="1" spans="1:16">
      <c r="A19" s="17">
        <v>16</v>
      </c>
      <c r="B19" s="18" t="str">
        <f>"龙林枝"</f>
        <v>龙林枝</v>
      </c>
      <c r="C19" s="18" t="str">
        <f t="shared" si="3"/>
        <v>女</v>
      </c>
      <c r="D19" s="25" t="s">
        <v>52</v>
      </c>
      <c r="E19" s="17" t="s">
        <v>53</v>
      </c>
      <c r="F19" s="26" t="s">
        <v>54</v>
      </c>
      <c r="G19" s="21">
        <v>73.75</v>
      </c>
      <c r="H19" s="20">
        <f t="shared" si="0"/>
        <v>36.875</v>
      </c>
      <c r="I19" s="21">
        <v>85.11</v>
      </c>
      <c r="J19" s="22">
        <f t="shared" si="1"/>
        <v>42.555</v>
      </c>
      <c r="K19" s="20">
        <f t="shared" si="2"/>
        <v>79.43</v>
      </c>
      <c r="L19" s="23" t="s">
        <v>45</v>
      </c>
      <c r="M19" s="23" t="s">
        <v>58</v>
      </c>
      <c r="N19" s="23" t="s">
        <v>23</v>
      </c>
      <c r="O19" s="23" t="s">
        <v>31</v>
      </c>
      <c r="P19" s="17"/>
    </row>
    <row r="20" s="4" customFormat="1" ht="42" customHeight="1" spans="1:16">
      <c r="A20" s="17">
        <v>17</v>
      </c>
      <c r="B20" s="18" t="str">
        <f>"罗欢"</f>
        <v>罗欢</v>
      </c>
      <c r="C20" s="18" t="str">
        <f t="shared" si="3"/>
        <v>女</v>
      </c>
      <c r="D20" s="25" t="s">
        <v>52</v>
      </c>
      <c r="E20" s="17" t="s">
        <v>53</v>
      </c>
      <c r="F20" s="26" t="s">
        <v>54</v>
      </c>
      <c r="G20" s="21">
        <v>73.75</v>
      </c>
      <c r="H20" s="20">
        <f t="shared" si="0"/>
        <v>36.875</v>
      </c>
      <c r="I20" s="21">
        <v>84.66</v>
      </c>
      <c r="J20" s="22">
        <f t="shared" si="1"/>
        <v>42.33</v>
      </c>
      <c r="K20" s="20">
        <f t="shared" si="2"/>
        <v>79.205</v>
      </c>
      <c r="L20" s="23" t="s">
        <v>59</v>
      </c>
      <c r="M20" s="23" t="s">
        <v>60</v>
      </c>
      <c r="N20" s="23" t="s">
        <v>23</v>
      </c>
      <c r="O20" s="23" t="s">
        <v>31</v>
      </c>
      <c r="P20" s="17"/>
    </row>
    <row r="21" s="4" customFormat="1" ht="42" customHeight="1" spans="1:16">
      <c r="A21" s="17">
        <v>18</v>
      </c>
      <c r="B21" s="18" t="str">
        <f>"张欣"</f>
        <v>张欣</v>
      </c>
      <c r="C21" s="18" t="str">
        <f t="shared" si="3"/>
        <v>女</v>
      </c>
      <c r="D21" s="25" t="s">
        <v>61</v>
      </c>
      <c r="E21" s="17" t="s">
        <v>62</v>
      </c>
      <c r="F21" s="27" t="s">
        <v>63</v>
      </c>
      <c r="G21" s="21">
        <v>83.28</v>
      </c>
      <c r="H21" s="20">
        <f t="shared" si="0"/>
        <v>41.64</v>
      </c>
      <c r="I21" s="21">
        <v>79.69</v>
      </c>
      <c r="J21" s="22">
        <f t="shared" si="1"/>
        <v>39.845</v>
      </c>
      <c r="K21" s="20">
        <f t="shared" si="2"/>
        <v>81.485</v>
      </c>
      <c r="L21" s="23" t="s">
        <v>21</v>
      </c>
      <c r="M21" s="23" t="s">
        <v>59</v>
      </c>
      <c r="N21" s="23" t="s">
        <v>23</v>
      </c>
      <c r="O21" s="23" t="s">
        <v>31</v>
      </c>
      <c r="P21" s="17"/>
    </row>
    <row r="22" s="4" customFormat="1" ht="42" customHeight="1" spans="1:16">
      <c r="A22" s="17">
        <v>19</v>
      </c>
      <c r="B22" s="18" t="str">
        <f>"邓钰"</f>
        <v>邓钰</v>
      </c>
      <c r="C22" s="18" t="str">
        <f t="shared" si="3"/>
        <v>女</v>
      </c>
      <c r="D22" s="25" t="s">
        <v>61</v>
      </c>
      <c r="E22" s="17" t="s">
        <v>62</v>
      </c>
      <c r="F22" s="27" t="s">
        <v>63</v>
      </c>
      <c r="G22" s="21">
        <v>80.41</v>
      </c>
      <c r="H22" s="20">
        <f t="shared" si="0"/>
        <v>40.205</v>
      </c>
      <c r="I22" s="21">
        <v>82.49</v>
      </c>
      <c r="J22" s="22">
        <f t="shared" si="1"/>
        <v>41.245</v>
      </c>
      <c r="K22" s="20">
        <f t="shared" si="2"/>
        <v>81.45</v>
      </c>
      <c r="L22" s="23" t="s">
        <v>22</v>
      </c>
      <c r="M22" s="23" t="s">
        <v>64</v>
      </c>
      <c r="N22" s="23" t="s">
        <v>23</v>
      </c>
      <c r="O22" s="23" t="s">
        <v>31</v>
      </c>
      <c r="P22" s="17"/>
    </row>
    <row r="23" s="4" customFormat="1" ht="42" customHeight="1" spans="1:16">
      <c r="A23" s="17">
        <v>20</v>
      </c>
      <c r="B23" s="18" t="str">
        <f>"田月"</f>
        <v>田月</v>
      </c>
      <c r="C23" s="18" t="str">
        <f t="shared" si="3"/>
        <v>女</v>
      </c>
      <c r="D23" s="25" t="s">
        <v>61</v>
      </c>
      <c r="E23" s="17" t="s">
        <v>62</v>
      </c>
      <c r="F23" s="27" t="s">
        <v>63</v>
      </c>
      <c r="G23" s="21">
        <v>83.09</v>
      </c>
      <c r="H23" s="20">
        <f t="shared" si="0"/>
        <v>41.545</v>
      </c>
      <c r="I23" s="21">
        <v>79.27</v>
      </c>
      <c r="J23" s="22">
        <f t="shared" si="1"/>
        <v>39.635</v>
      </c>
      <c r="K23" s="20">
        <f t="shared" si="2"/>
        <v>81.18</v>
      </c>
      <c r="L23" s="23" t="s">
        <v>30</v>
      </c>
      <c r="M23" s="23" t="s">
        <v>65</v>
      </c>
      <c r="N23" s="23" t="s">
        <v>23</v>
      </c>
      <c r="O23" s="23" t="s">
        <v>31</v>
      </c>
      <c r="P23" s="17"/>
    </row>
    <row r="24" s="4" customFormat="1" ht="42" customHeight="1" spans="1:16">
      <c r="A24" s="17">
        <v>21</v>
      </c>
      <c r="B24" s="18" t="str">
        <f>"刘娇"</f>
        <v>刘娇</v>
      </c>
      <c r="C24" s="18" t="str">
        <f t="shared" si="3"/>
        <v>女</v>
      </c>
      <c r="D24" s="25" t="s">
        <v>61</v>
      </c>
      <c r="E24" s="17" t="s">
        <v>62</v>
      </c>
      <c r="F24" s="27" t="s">
        <v>63</v>
      </c>
      <c r="G24" s="21">
        <v>77.92</v>
      </c>
      <c r="H24" s="20">
        <f t="shared" si="0"/>
        <v>38.96</v>
      </c>
      <c r="I24" s="21">
        <v>83.83</v>
      </c>
      <c r="J24" s="22">
        <f t="shared" ref="J24:J51" si="4">I24*0.5</f>
        <v>41.915</v>
      </c>
      <c r="K24" s="20">
        <f t="shared" si="2"/>
        <v>80.875</v>
      </c>
      <c r="L24" s="23" t="s">
        <v>59</v>
      </c>
      <c r="M24" s="23" t="s">
        <v>66</v>
      </c>
      <c r="N24" s="23" t="s">
        <v>23</v>
      </c>
      <c r="O24" s="23" t="s">
        <v>31</v>
      </c>
      <c r="P24" s="17"/>
    </row>
    <row r="25" s="4" customFormat="1" ht="42" customHeight="1" spans="1:16">
      <c r="A25" s="17">
        <v>22</v>
      </c>
      <c r="B25" s="18" t="str">
        <f>"龚思雨"</f>
        <v>龚思雨</v>
      </c>
      <c r="C25" s="18" t="str">
        <f t="shared" si="3"/>
        <v>女</v>
      </c>
      <c r="D25" s="25" t="s">
        <v>61</v>
      </c>
      <c r="E25" s="17" t="s">
        <v>62</v>
      </c>
      <c r="F25" s="27" t="s">
        <v>63</v>
      </c>
      <c r="G25" s="21">
        <v>80.47</v>
      </c>
      <c r="H25" s="20">
        <f t="shared" si="0"/>
        <v>40.235</v>
      </c>
      <c r="I25" s="21">
        <v>81.02</v>
      </c>
      <c r="J25" s="22">
        <f t="shared" si="4"/>
        <v>40.51</v>
      </c>
      <c r="K25" s="20">
        <f t="shared" si="2"/>
        <v>80.745</v>
      </c>
      <c r="L25" s="23" t="s">
        <v>36</v>
      </c>
      <c r="M25" s="23" t="s">
        <v>67</v>
      </c>
      <c r="N25" s="23" t="s">
        <v>23</v>
      </c>
      <c r="O25" s="23" t="s">
        <v>31</v>
      </c>
      <c r="P25" s="17"/>
    </row>
    <row r="26" s="4" customFormat="1" ht="42" customHeight="1" spans="1:16">
      <c r="A26" s="17">
        <v>23</v>
      </c>
      <c r="B26" s="18" t="str">
        <f>"黎媛"</f>
        <v>黎媛</v>
      </c>
      <c r="C26" s="18" t="str">
        <f t="shared" si="3"/>
        <v>女</v>
      </c>
      <c r="D26" s="25" t="s">
        <v>61</v>
      </c>
      <c r="E26" s="17" t="s">
        <v>62</v>
      </c>
      <c r="F26" s="27" t="s">
        <v>63</v>
      </c>
      <c r="G26" s="21">
        <v>80.91</v>
      </c>
      <c r="H26" s="20">
        <f t="shared" si="0"/>
        <v>40.455</v>
      </c>
      <c r="I26" s="21">
        <v>79.62</v>
      </c>
      <c r="J26" s="22">
        <f t="shared" si="4"/>
        <v>39.81</v>
      </c>
      <c r="K26" s="20">
        <f t="shared" si="2"/>
        <v>80.265</v>
      </c>
      <c r="L26" s="23" t="s">
        <v>58</v>
      </c>
      <c r="M26" s="23" t="s">
        <v>68</v>
      </c>
      <c r="N26" s="23" t="s">
        <v>23</v>
      </c>
      <c r="O26" s="23" t="s">
        <v>31</v>
      </c>
      <c r="P26" s="17"/>
    </row>
    <row r="27" s="4" customFormat="1" ht="42" customHeight="1" spans="1:16">
      <c r="A27" s="17">
        <v>24</v>
      </c>
      <c r="B27" s="18" t="str">
        <f>"杨啟岱"</f>
        <v>杨啟岱</v>
      </c>
      <c r="C27" s="18" t="str">
        <f>"男"</f>
        <v>男</v>
      </c>
      <c r="D27" s="25" t="s">
        <v>61</v>
      </c>
      <c r="E27" s="17" t="s">
        <v>62</v>
      </c>
      <c r="F27" s="27" t="s">
        <v>63</v>
      </c>
      <c r="G27" s="21">
        <v>83.33</v>
      </c>
      <c r="H27" s="20">
        <f t="shared" si="0"/>
        <v>41.665</v>
      </c>
      <c r="I27" s="21">
        <v>76.43</v>
      </c>
      <c r="J27" s="22">
        <f t="shared" si="4"/>
        <v>38.215</v>
      </c>
      <c r="K27" s="20">
        <f t="shared" si="2"/>
        <v>79.88</v>
      </c>
      <c r="L27" s="23" t="s">
        <v>51</v>
      </c>
      <c r="M27" s="23" t="s">
        <v>69</v>
      </c>
      <c r="N27" s="23" t="s">
        <v>23</v>
      </c>
      <c r="O27" s="23" t="s">
        <v>31</v>
      </c>
      <c r="P27" s="17"/>
    </row>
    <row r="28" s="4" customFormat="1" ht="42" customHeight="1" spans="1:16">
      <c r="A28" s="17">
        <v>25</v>
      </c>
      <c r="B28" s="18" t="str">
        <f>"高家媛"</f>
        <v>高家媛</v>
      </c>
      <c r="C28" s="18" t="str">
        <f>"女"</f>
        <v>女</v>
      </c>
      <c r="D28" s="25" t="s">
        <v>61</v>
      </c>
      <c r="E28" s="17" t="s">
        <v>62</v>
      </c>
      <c r="F28" s="27" t="s">
        <v>63</v>
      </c>
      <c r="G28" s="21">
        <v>74.94</v>
      </c>
      <c r="H28" s="20">
        <f t="shared" si="0"/>
        <v>37.47</v>
      </c>
      <c r="I28" s="21">
        <v>83.91</v>
      </c>
      <c r="J28" s="22">
        <f t="shared" si="4"/>
        <v>41.955</v>
      </c>
      <c r="K28" s="20">
        <f t="shared" si="2"/>
        <v>79.425</v>
      </c>
      <c r="L28" s="23" t="s">
        <v>64</v>
      </c>
      <c r="M28" s="23" t="s">
        <v>70</v>
      </c>
      <c r="N28" s="23" t="s">
        <v>23</v>
      </c>
      <c r="O28" s="23" t="s">
        <v>31</v>
      </c>
      <c r="P28" s="17"/>
    </row>
    <row r="29" s="4" customFormat="1" ht="42" customHeight="1" spans="1:16">
      <c r="A29" s="17">
        <v>26</v>
      </c>
      <c r="B29" s="18" t="str">
        <f>"任柳"</f>
        <v>任柳</v>
      </c>
      <c r="C29" s="18" t="str">
        <f>"女"</f>
        <v>女</v>
      </c>
      <c r="D29" s="25" t="s">
        <v>61</v>
      </c>
      <c r="E29" s="17" t="s">
        <v>62</v>
      </c>
      <c r="F29" s="27" t="s">
        <v>63</v>
      </c>
      <c r="G29" s="21">
        <v>75.23</v>
      </c>
      <c r="H29" s="20">
        <f t="shared" si="0"/>
        <v>37.615</v>
      </c>
      <c r="I29" s="21">
        <v>83.4</v>
      </c>
      <c r="J29" s="22">
        <f t="shared" si="4"/>
        <v>41.7</v>
      </c>
      <c r="K29" s="20">
        <f t="shared" si="2"/>
        <v>79.315</v>
      </c>
      <c r="L29" s="23" t="s">
        <v>60</v>
      </c>
      <c r="M29" s="23" t="s">
        <v>71</v>
      </c>
      <c r="N29" s="23" t="s">
        <v>23</v>
      </c>
      <c r="O29" s="23" t="s">
        <v>31</v>
      </c>
      <c r="P29" s="17"/>
    </row>
    <row r="30" s="4" customFormat="1" ht="42" customHeight="1" spans="1:16">
      <c r="A30" s="17">
        <v>27</v>
      </c>
      <c r="B30" s="18" t="str">
        <f>"安立敏"</f>
        <v>安立敏</v>
      </c>
      <c r="C30" s="18" t="str">
        <f>"女"</f>
        <v>女</v>
      </c>
      <c r="D30" s="25" t="s">
        <v>61</v>
      </c>
      <c r="E30" s="17" t="s">
        <v>62</v>
      </c>
      <c r="F30" s="27" t="s">
        <v>63</v>
      </c>
      <c r="G30" s="21">
        <v>75.37</v>
      </c>
      <c r="H30" s="20">
        <f t="shared" si="0"/>
        <v>37.685</v>
      </c>
      <c r="I30" s="21">
        <v>83.11</v>
      </c>
      <c r="J30" s="22">
        <f t="shared" si="4"/>
        <v>41.555</v>
      </c>
      <c r="K30" s="20">
        <f t="shared" si="2"/>
        <v>79.24</v>
      </c>
      <c r="L30" s="23" t="s">
        <v>57</v>
      </c>
      <c r="M30" s="23" t="s">
        <v>72</v>
      </c>
      <c r="N30" s="23" t="s">
        <v>23</v>
      </c>
      <c r="O30" s="23" t="s">
        <v>31</v>
      </c>
      <c r="P30" s="17"/>
    </row>
    <row r="31" s="4" customFormat="1" ht="42" customHeight="1" spans="1:16">
      <c r="A31" s="17">
        <v>28</v>
      </c>
      <c r="B31" s="18" t="str">
        <f>"张鑫"</f>
        <v>张鑫</v>
      </c>
      <c r="C31" s="18" t="str">
        <f>"男"</f>
        <v>男</v>
      </c>
      <c r="D31" s="28" t="s">
        <v>73</v>
      </c>
      <c r="E31" s="17" t="s">
        <v>74</v>
      </c>
      <c r="F31" s="27" t="s">
        <v>75</v>
      </c>
      <c r="G31" s="21">
        <v>82.54</v>
      </c>
      <c r="H31" s="20">
        <f t="shared" si="0"/>
        <v>41.27</v>
      </c>
      <c r="I31" s="21">
        <v>79.78</v>
      </c>
      <c r="J31" s="22">
        <f t="shared" si="4"/>
        <v>39.89</v>
      </c>
      <c r="K31" s="20">
        <f t="shared" si="2"/>
        <v>81.16</v>
      </c>
      <c r="L31" s="23" t="s">
        <v>22</v>
      </c>
      <c r="M31" s="23" t="s">
        <v>76</v>
      </c>
      <c r="N31" s="23" t="s">
        <v>23</v>
      </c>
      <c r="O31" s="23" t="s">
        <v>31</v>
      </c>
      <c r="P31" s="17"/>
    </row>
    <row r="32" s="4" customFormat="1" ht="42" customHeight="1" spans="1:16">
      <c r="A32" s="17">
        <v>29</v>
      </c>
      <c r="B32" s="18" t="str">
        <f>"符涛"</f>
        <v>符涛</v>
      </c>
      <c r="C32" s="18" t="str">
        <f>"女"</f>
        <v>女</v>
      </c>
      <c r="D32" s="28" t="s">
        <v>73</v>
      </c>
      <c r="E32" s="17" t="s">
        <v>74</v>
      </c>
      <c r="F32" s="27" t="s">
        <v>75</v>
      </c>
      <c r="G32" s="21">
        <v>84.31</v>
      </c>
      <c r="H32" s="20">
        <f t="shared" si="0"/>
        <v>42.155</v>
      </c>
      <c r="I32" s="21">
        <v>76.12</v>
      </c>
      <c r="J32" s="22">
        <f t="shared" si="4"/>
        <v>38.06</v>
      </c>
      <c r="K32" s="20">
        <f t="shared" si="2"/>
        <v>80.215</v>
      </c>
      <c r="L32" s="23" t="s">
        <v>30</v>
      </c>
      <c r="M32" s="23" t="s">
        <v>77</v>
      </c>
      <c r="N32" s="23" t="s">
        <v>23</v>
      </c>
      <c r="O32" s="23" t="s">
        <v>31</v>
      </c>
      <c r="P32" s="17"/>
    </row>
    <row r="33" s="4" customFormat="1" ht="42" customHeight="1" spans="1:16">
      <c r="A33" s="17">
        <v>30</v>
      </c>
      <c r="B33" s="18" t="str">
        <f>"张程昊"</f>
        <v>张程昊</v>
      </c>
      <c r="C33" s="18" t="str">
        <f>"男"</f>
        <v>男</v>
      </c>
      <c r="D33" s="28" t="s">
        <v>73</v>
      </c>
      <c r="E33" s="17" t="s">
        <v>74</v>
      </c>
      <c r="F33" s="27" t="s">
        <v>75</v>
      </c>
      <c r="G33" s="21">
        <v>84.73</v>
      </c>
      <c r="H33" s="20">
        <f t="shared" si="0"/>
        <v>42.365</v>
      </c>
      <c r="I33" s="21">
        <v>75.69</v>
      </c>
      <c r="J33" s="22">
        <f t="shared" si="4"/>
        <v>37.845</v>
      </c>
      <c r="K33" s="20">
        <f t="shared" si="2"/>
        <v>80.21</v>
      </c>
      <c r="L33" s="23" t="s">
        <v>45</v>
      </c>
      <c r="M33" s="23" t="s">
        <v>78</v>
      </c>
      <c r="N33" s="23" t="s">
        <v>23</v>
      </c>
      <c r="O33" s="23" t="s">
        <v>31</v>
      </c>
      <c r="P33" s="17"/>
    </row>
    <row r="34" s="4" customFormat="1" ht="42" customHeight="1" spans="1:16">
      <c r="A34" s="17">
        <v>31</v>
      </c>
      <c r="B34" s="18" t="str">
        <f>"安乐"</f>
        <v>安乐</v>
      </c>
      <c r="C34" s="18" t="str">
        <f>"男"</f>
        <v>男</v>
      </c>
      <c r="D34" s="28" t="s">
        <v>73</v>
      </c>
      <c r="E34" s="17" t="s">
        <v>74</v>
      </c>
      <c r="F34" s="27" t="s">
        <v>75</v>
      </c>
      <c r="G34" s="21">
        <v>83.78</v>
      </c>
      <c r="H34" s="20">
        <f t="shared" si="0"/>
        <v>41.89</v>
      </c>
      <c r="I34" s="21">
        <v>76.31</v>
      </c>
      <c r="J34" s="22">
        <f t="shared" si="4"/>
        <v>38.155</v>
      </c>
      <c r="K34" s="20">
        <f t="shared" si="2"/>
        <v>80.045</v>
      </c>
      <c r="L34" s="23" t="s">
        <v>59</v>
      </c>
      <c r="M34" s="23" t="s">
        <v>79</v>
      </c>
      <c r="N34" s="23" t="s">
        <v>23</v>
      </c>
      <c r="O34" s="23" t="s">
        <v>31</v>
      </c>
      <c r="P34" s="17"/>
    </row>
    <row r="35" s="4" customFormat="1" ht="42" customHeight="1" spans="1:16">
      <c r="A35" s="17">
        <v>32</v>
      </c>
      <c r="B35" s="18" t="str">
        <f>"陶侣"</f>
        <v>陶侣</v>
      </c>
      <c r="C35" s="18" t="str">
        <f>"男"</f>
        <v>男</v>
      </c>
      <c r="D35" s="28" t="s">
        <v>73</v>
      </c>
      <c r="E35" s="17" t="s">
        <v>74</v>
      </c>
      <c r="F35" s="27" t="s">
        <v>75</v>
      </c>
      <c r="G35" s="21">
        <v>77.56</v>
      </c>
      <c r="H35" s="20">
        <f t="shared" si="0"/>
        <v>38.78</v>
      </c>
      <c r="I35" s="21">
        <v>82.31</v>
      </c>
      <c r="J35" s="22">
        <f t="shared" si="4"/>
        <v>41.155</v>
      </c>
      <c r="K35" s="20">
        <f t="shared" si="2"/>
        <v>79.935</v>
      </c>
      <c r="L35" s="23" t="s">
        <v>36</v>
      </c>
      <c r="M35" s="23" t="s">
        <v>80</v>
      </c>
      <c r="N35" s="23" t="s">
        <v>23</v>
      </c>
      <c r="O35" s="23" t="s">
        <v>31</v>
      </c>
      <c r="P35" s="17"/>
    </row>
    <row r="36" s="4" customFormat="1" ht="42" customHeight="1" spans="1:16">
      <c r="A36" s="17">
        <v>33</v>
      </c>
      <c r="B36" s="18" t="str">
        <f>"张义容"</f>
        <v>张义容</v>
      </c>
      <c r="C36" s="18" t="str">
        <f>"女"</f>
        <v>女</v>
      </c>
      <c r="D36" s="28" t="s">
        <v>81</v>
      </c>
      <c r="E36" s="17" t="s">
        <v>82</v>
      </c>
      <c r="F36" s="27" t="s">
        <v>83</v>
      </c>
      <c r="G36" s="21">
        <v>81.11</v>
      </c>
      <c r="H36" s="20">
        <f t="shared" si="0"/>
        <v>40.555</v>
      </c>
      <c r="I36" s="21">
        <v>79.08</v>
      </c>
      <c r="J36" s="22">
        <f t="shared" si="4"/>
        <v>39.54</v>
      </c>
      <c r="K36" s="20">
        <f t="shared" si="2"/>
        <v>80.095</v>
      </c>
      <c r="L36" s="23" t="s">
        <v>21</v>
      </c>
      <c r="M36" s="23" t="s">
        <v>84</v>
      </c>
      <c r="N36" s="23" t="s">
        <v>23</v>
      </c>
      <c r="O36" s="23" t="s">
        <v>31</v>
      </c>
      <c r="P36" s="17"/>
    </row>
    <row r="37" s="4" customFormat="1" ht="42" customHeight="1" spans="1:16">
      <c r="A37" s="17">
        <v>34</v>
      </c>
      <c r="B37" s="18" t="str">
        <f>"樊斌"</f>
        <v>樊斌</v>
      </c>
      <c r="C37" s="18" t="str">
        <f>"男"</f>
        <v>男</v>
      </c>
      <c r="D37" s="28" t="s">
        <v>81</v>
      </c>
      <c r="E37" s="17" t="s">
        <v>82</v>
      </c>
      <c r="F37" s="27" t="s">
        <v>83</v>
      </c>
      <c r="G37" s="21">
        <v>81.21</v>
      </c>
      <c r="H37" s="20">
        <f t="shared" si="0"/>
        <v>40.605</v>
      </c>
      <c r="I37" s="21">
        <v>78.44</v>
      </c>
      <c r="J37" s="22">
        <f t="shared" si="4"/>
        <v>39.22</v>
      </c>
      <c r="K37" s="20">
        <f t="shared" si="2"/>
        <v>79.825</v>
      </c>
      <c r="L37" s="23" t="s">
        <v>22</v>
      </c>
      <c r="M37" s="23" t="s">
        <v>85</v>
      </c>
      <c r="N37" s="23" t="s">
        <v>23</v>
      </c>
      <c r="O37" s="23" t="s">
        <v>31</v>
      </c>
      <c r="P37" s="17"/>
    </row>
    <row r="38" s="4" customFormat="1" ht="42" customHeight="1" spans="1:16">
      <c r="A38" s="17">
        <v>35</v>
      </c>
      <c r="B38" s="18" t="str">
        <f>"李路"</f>
        <v>李路</v>
      </c>
      <c r="C38" s="18" t="str">
        <f>"男"</f>
        <v>男</v>
      </c>
      <c r="D38" s="28" t="s">
        <v>81</v>
      </c>
      <c r="E38" s="17" t="s">
        <v>82</v>
      </c>
      <c r="F38" s="27" t="s">
        <v>83</v>
      </c>
      <c r="G38" s="21">
        <v>79.71</v>
      </c>
      <c r="H38" s="20">
        <f t="shared" si="0"/>
        <v>39.855</v>
      </c>
      <c r="I38" s="21">
        <v>79.18</v>
      </c>
      <c r="J38" s="22">
        <f t="shared" si="4"/>
        <v>39.59</v>
      </c>
      <c r="K38" s="20">
        <f t="shared" si="2"/>
        <v>79.445</v>
      </c>
      <c r="L38" s="23" t="s">
        <v>30</v>
      </c>
      <c r="M38" s="23" t="s">
        <v>86</v>
      </c>
      <c r="N38" s="23" t="s">
        <v>23</v>
      </c>
      <c r="O38" s="23" t="s">
        <v>31</v>
      </c>
      <c r="P38" s="17"/>
    </row>
    <row r="39" s="4" customFormat="1" ht="42" customHeight="1" spans="1:16">
      <c r="A39" s="17">
        <v>36</v>
      </c>
      <c r="B39" s="18" t="str">
        <f>"游丹婷"</f>
        <v>游丹婷</v>
      </c>
      <c r="C39" s="18" t="str">
        <f t="shared" ref="C39:C44" si="5">"女"</f>
        <v>女</v>
      </c>
      <c r="D39" s="24" t="s">
        <v>87</v>
      </c>
      <c r="E39" s="17" t="s">
        <v>88</v>
      </c>
      <c r="F39" s="27" t="s">
        <v>89</v>
      </c>
      <c r="G39" s="21">
        <v>72.32</v>
      </c>
      <c r="H39" s="20">
        <f t="shared" si="0"/>
        <v>36.16</v>
      </c>
      <c r="I39" s="21">
        <v>85.48</v>
      </c>
      <c r="J39" s="22">
        <f t="shared" si="4"/>
        <v>42.74</v>
      </c>
      <c r="K39" s="20">
        <f t="shared" si="2"/>
        <v>78.9</v>
      </c>
      <c r="L39" s="23" t="s">
        <v>21</v>
      </c>
      <c r="M39" s="23" t="s">
        <v>90</v>
      </c>
      <c r="N39" s="23" t="s">
        <v>23</v>
      </c>
      <c r="O39" s="23" t="s">
        <v>31</v>
      </c>
      <c r="P39" s="17"/>
    </row>
    <row r="40" s="4" customFormat="1" ht="42" customHeight="1" spans="1:16">
      <c r="A40" s="17">
        <v>37</v>
      </c>
      <c r="B40" s="18" t="str">
        <f>"杜丽莎"</f>
        <v>杜丽莎</v>
      </c>
      <c r="C40" s="18" t="str">
        <f t="shared" si="5"/>
        <v>女</v>
      </c>
      <c r="D40" s="24" t="s">
        <v>87</v>
      </c>
      <c r="E40" s="17" t="s">
        <v>88</v>
      </c>
      <c r="F40" s="27" t="s">
        <v>89</v>
      </c>
      <c r="G40" s="21">
        <v>68.28</v>
      </c>
      <c r="H40" s="20">
        <f t="shared" si="0"/>
        <v>34.14</v>
      </c>
      <c r="I40" s="21">
        <v>85.55</v>
      </c>
      <c r="J40" s="22">
        <f t="shared" si="4"/>
        <v>42.775</v>
      </c>
      <c r="K40" s="20">
        <f t="shared" si="2"/>
        <v>76.915</v>
      </c>
      <c r="L40" s="23" t="s">
        <v>22</v>
      </c>
      <c r="M40" s="23" t="s">
        <v>91</v>
      </c>
      <c r="N40" s="23" t="s">
        <v>23</v>
      </c>
      <c r="O40" s="23" t="s">
        <v>31</v>
      </c>
      <c r="P40" s="17"/>
    </row>
    <row r="41" s="4" customFormat="1" ht="42" customHeight="1" spans="1:16">
      <c r="A41" s="17">
        <v>38</v>
      </c>
      <c r="B41" s="18" t="str">
        <f>"邹启亚"</f>
        <v>邹启亚</v>
      </c>
      <c r="C41" s="18" t="str">
        <f t="shared" si="5"/>
        <v>女</v>
      </c>
      <c r="D41" s="24" t="s">
        <v>87</v>
      </c>
      <c r="E41" s="17" t="s">
        <v>88</v>
      </c>
      <c r="F41" s="27" t="s">
        <v>89</v>
      </c>
      <c r="G41" s="21">
        <v>69.84</v>
      </c>
      <c r="H41" s="20">
        <f t="shared" si="0"/>
        <v>34.92</v>
      </c>
      <c r="I41" s="21">
        <v>80.36</v>
      </c>
      <c r="J41" s="22">
        <f t="shared" si="4"/>
        <v>40.18</v>
      </c>
      <c r="K41" s="20">
        <f t="shared" si="2"/>
        <v>75.1</v>
      </c>
      <c r="L41" s="23" t="s">
        <v>30</v>
      </c>
      <c r="M41" s="23" t="s">
        <v>92</v>
      </c>
      <c r="N41" s="23" t="s">
        <v>23</v>
      </c>
      <c r="O41" s="23" t="s">
        <v>31</v>
      </c>
      <c r="P41" s="17"/>
    </row>
    <row r="42" s="4" customFormat="1" ht="42" customHeight="1" spans="1:16">
      <c r="A42" s="17">
        <v>39</v>
      </c>
      <c r="B42" s="18" t="str">
        <f>"石金美"</f>
        <v>石金美</v>
      </c>
      <c r="C42" s="18" t="str">
        <f t="shared" si="5"/>
        <v>女</v>
      </c>
      <c r="D42" s="25" t="s">
        <v>87</v>
      </c>
      <c r="E42" s="17" t="s">
        <v>88</v>
      </c>
      <c r="F42" s="27" t="s">
        <v>89</v>
      </c>
      <c r="G42" s="21">
        <v>68.04</v>
      </c>
      <c r="H42" s="20">
        <f t="shared" si="0"/>
        <v>34.02</v>
      </c>
      <c r="I42" s="21">
        <v>81.96</v>
      </c>
      <c r="J42" s="22">
        <f t="shared" si="4"/>
        <v>40.98</v>
      </c>
      <c r="K42" s="20">
        <f t="shared" si="2"/>
        <v>75</v>
      </c>
      <c r="L42" s="23" t="s">
        <v>45</v>
      </c>
      <c r="M42" s="23" t="s">
        <v>93</v>
      </c>
      <c r="N42" s="23" t="s">
        <v>23</v>
      </c>
      <c r="O42" s="23" t="s">
        <v>31</v>
      </c>
      <c r="P42" s="17"/>
    </row>
    <row r="43" s="4" customFormat="1" ht="42" customHeight="1" spans="1:16">
      <c r="A43" s="17">
        <v>40</v>
      </c>
      <c r="B43" s="18" t="str">
        <f>"佟金玥"</f>
        <v>佟金玥</v>
      </c>
      <c r="C43" s="18" t="str">
        <f t="shared" si="5"/>
        <v>女</v>
      </c>
      <c r="D43" s="25" t="s">
        <v>94</v>
      </c>
      <c r="E43" s="17" t="s">
        <v>95</v>
      </c>
      <c r="F43" s="27" t="s">
        <v>96</v>
      </c>
      <c r="G43" s="21">
        <v>78.15</v>
      </c>
      <c r="H43" s="20">
        <f t="shared" si="0"/>
        <v>39.075</v>
      </c>
      <c r="I43" s="21">
        <v>79.49</v>
      </c>
      <c r="J43" s="22">
        <f t="shared" si="4"/>
        <v>39.745</v>
      </c>
      <c r="K43" s="20">
        <f t="shared" si="2"/>
        <v>78.82</v>
      </c>
      <c r="L43" s="23" t="s">
        <v>21</v>
      </c>
      <c r="M43" s="23" t="s">
        <v>97</v>
      </c>
      <c r="N43" s="23" t="s">
        <v>23</v>
      </c>
      <c r="O43" s="23" t="s">
        <v>31</v>
      </c>
      <c r="P43" s="17"/>
    </row>
    <row r="44" s="4" customFormat="1" ht="42" customHeight="1" spans="1:16">
      <c r="A44" s="17">
        <v>41</v>
      </c>
      <c r="B44" s="18" t="str">
        <f>"申婉彤"</f>
        <v>申婉彤</v>
      </c>
      <c r="C44" s="18" t="str">
        <f t="shared" si="5"/>
        <v>女</v>
      </c>
      <c r="D44" s="25" t="s">
        <v>94</v>
      </c>
      <c r="E44" s="17" t="s">
        <v>95</v>
      </c>
      <c r="F44" s="27" t="s">
        <v>96</v>
      </c>
      <c r="G44" s="21">
        <v>77.95</v>
      </c>
      <c r="H44" s="20">
        <f t="shared" si="0"/>
        <v>38.975</v>
      </c>
      <c r="I44" s="21">
        <v>79.69</v>
      </c>
      <c r="J44" s="22">
        <f t="shared" si="4"/>
        <v>39.845</v>
      </c>
      <c r="K44" s="20">
        <f t="shared" si="2"/>
        <v>78.82</v>
      </c>
      <c r="L44" s="23" t="s">
        <v>22</v>
      </c>
      <c r="M44" s="23" t="s">
        <v>98</v>
      </c>
      <c r="N44" s="23" t="s">
        <v>23</v>
      </c>
      <c r="O44" s="23" t="s">
        <v>31</v>
      </c>
      <c r="P44" s="17"/>
    </row>
    <row r="45" s="4" customFormat="1" ht="42" customHeight="1" spans="1:16">
      <c r="A45" s="17">
        <v>42</v>
      </c>
      <c r="B45" s="18" t="str">
        <f>"刘吉"</f>
        <v>刘吉</v>
      </c>
      <c r="C45" s="18" t="str">
        <f>"男"</f>
        <v>男</v>
      </c>
      <c r="D45" s="25" t="s">
        <v>94</v>
      </c>
      <c r="E45" s="17" t="s">
        <v>95</v>
      </c>
      <c r="F45" s="27" t="s">
        <v>96</v>
      </c>
      <c r="G45" s="21">
        <v>73.2</v>
      </c>
      <c r="H45" s="20">
        <f t="shared" si="0"/>
        <v>36.6</v>
      </c>
      <c r="I45" s="21">
        <v>79.72</v>
      </c>
      <c r="J45" s="22">
        <f t="shared" si="4"/>
        <v>39.86</v>
      </c>
      <c r="K45" s="20">
        <f t="shared" si="2"/>
        <v>76.46</v>
      </c>
      <c r="L45" s="23" t="s">
        <v>30</v>
      </c>
      <c r="M45" s="23" t="s">
        <v>99</v>
      </c>
      <c r="N45" s="23" t="s">
        <v>23</v>
      </c>
      <c r="O45" s="23" t="s">
        <v>31</v>
      </c>
      <c r="P45" s="17"/>
    </row>
    <row r="46" s="4" customFormat="1" ht="42" customHeight="1" spans="1:16">
      <c r="A46" s="17">
        <v>43</v>
      </c>
      <c r="B46" s="18" t="str">
        <f>"宋红娅"</f>
        <v>宋红娅</v>
      </c>
      <c r="C46" s="18" t="str">
        <f t="shared" ref="C46:C51" si="6">"女"</f>
        <v>女</v>
      </c>
      <c r="D46" s="25" t="s">
        <v>100</v>
      </c>
      <c r="E46" s="17" t="s">
        <v>101</v>
      </c>
      <c r="F46" s="27" t="s">
        <v>102</v>
      </c>
      <c r="G46" s="21">
        <v>90.25</v>
      </c>
      <c r="H46" s="20">
        <f t="shared" si="0"/>
        <v>45.125</v>
      </c>
      <c r="I46" s="21">
        <v>84.57</v>
      </c>
      <c r="J46" s="22">
        <f t="shared" si="4"/>
        <v>42.285</v>
      </c>
      <c r="K46" s="20">
        <f t="shared" si="2"/>
        <v>87.41</v>
      </c>
      <c r="L46" s="23" t="s">
        <v>21</v>
      </c>
      <c r="M46" s="23" t="s">
        <v>103</v>
      </c>
      <c r="N46" s="23" t="s">
        <v>23</v>
      </c>
      <c r="O46" s="23" t="s">
        <v>31</v>
      </c>
      <c r="P46" s="17"/>
    </row>
    <row r="47" s="4" customFormat="1" ht="42" customHeight="1" spans="1:16">
      <c r="A47" s="17">
        <v>44</v>
      </c>
      <c r="B47" s="18" t="str">
        <f>"陈雨雪"</f>
        <v>陈雨雪</v>
      </c>
      <c r="C47" s="18" t="str">
        <f t="shared" si="6"/>
        <v>女</v>
      </c>
      <c r="D47" s="25" t="s">
        <v>100</v>
      </c>
      <c r="E47" s="17" t="s">
        <v>101</v>
      </c>
      <c r="F47" s="27" t="s">
        <v>102</v>
      </c>
      <c r="G47" s="21">
        <v>89</v>
      </c>
      <c r="H47" s="20">
        <f t="shared" si="0"/>
        <v>44.5</v>
      </c>
      <c r="I47" s="21">
        <v>78.16</v>
      </c>
      <c r="J47" s="22">
        <f t="shared" si="4"/>
        <v>39.08</v>
      </c>
      <c r="K47" s="20">
        <f t="shared" si="2"/>
        <v>83.58</v>
      </c>
      <c r="L47" s="23" t="s">
        <v>22</v>
      </c>
      <c r="M47" s="23" t="s">
        <v>104</v>
      </c>
      <c r="N47" s="23" t="s">
        <v>23</v>
      </c>
      <c r="O47" s="23" t="s">
        <v>31</v>
      </c>
      <c r="P47" s="17"/>
    </row>
    <row r="48" s="4" customFormat="1" ht="42" customHeight="1" spans="1:16">
      <c r="A48" s="17">
        <v>45</v>
      </c>
      <c r="B48" s="18" t="str">
        <f>"舒蝶"</f>
        <v>舒蝶</v>
      </c>
      <c r="C48" s="18" t="str">
        <f t="shared" si="6"/>
        <v>女</v>
      </c>
      <c r="D48" s="25" t="s">
        <v>100</v>
      </c>
      <c r="E48" s="17" t="s">
        <v>101</v>
      </c>
      <c r="F48" s="27" t="s">
        <v>102</v>
      </c>
      <c r="G48" s="21">
        <v>85.5</v>
      </c>
      <c r="H48" s="20">
        <f t="shared" si="0"/>
        <v>42.75</v>
      </c>
      <c r="I48" s="21">
        <v>80.98</v>
      </c>
      <c r="J48" s="22">
        <f t="shared" si="4"/>
        <v>40.49</v>
      </c>
      <c r="K48" s="20">
        <f t="shared" si="2"/>
        <v>83.24</v>
      </c>
      <c r="L48" s="23" t="s">
        <v>30</v>
      </c>
      <c r="M48" s="23" t="s">
        <v>105</v>
      </c>
      <c r="N48" s="23" t="s">
        <v>23</v>
      </c>
      <c r="O48" s="23" t="s">
        <v>31</v>
      </c>
      <c r="P48" s="17"/>
    </row>
    <row r="49" s="4" customFormat="1" ht="42" customHeight="1" spans="1:16">
      <c r="A49" s="17">
        <v>46</v>
      </c>
      <c r="B49" s="18" t="str">
        <f>"陈湘萍"</f>
        <v>陈湘萍</v>
      </c>
      <c r="C49" s="18" t="str">
        <f t="shared" si="6"/>
        <v>女</v>
      </c>
      <c r="D49" s="29" t="s">
        <v>100</v>
      </c>
      <c r="E49" s="17" t="s">
        <v>101</v>
      </c>
      <c r="F49" s="27" t="s">
        <v>102</v>
      </c>
      <c r="G49" s="21">
        <v>82.5</v>
      </c>
      <c r="H49" s="20">
        <f t="shared" si="0"/>
        <v>41.25</v>
      </c>
      <c r="I49" s="21">
        <v>79.66</v>
      </c>
      <c r="J49" s="22">
        <f t="shared" si="4"/>
        <v>39.83</v>
      </c>
      <c r="K49" s="20">
        <f t="shared" si="2"/>
        <v>81.08</v>
      </c>
      <c r="L49" s="23" t="s">
        <v>45</v>
      </c>
      <c r="M49" s="23" t="s">
        <v>106</v>
      </c>
      <c r="N49" s="23" t="s">
        <v>23</v>
      </c>
      <c r="O49" s="23" t="s">
        <v>31</v>
      </c>
      <c r="P49" s="17"/>
    </row>
    <row r="50" s="4" customFormat="1" ht="42" customHeight="1" spans="1:16">
      <c r="A50" s="17">
        <v>47</v>
      </c>
      <c r="B50" s="18" t="str">
        <f>"马云"</f>
        <v>马云</v>
      </c>
      <c r="C50" s="18" t="str">
        <f t="shared" si="6"/>
        <v>女</v>
      </c>
      <c r="D50" s="29" t="s">
        <v>100</v>
      </c>
      <c r="E50" s="17" t="s">
        <v>101</v>
      </c>
      <c r="F50" s="27" t="s">
        <v>102</v>
      </c>
      <c r="G50" s="21">
        <v>82.5</v>
      </c>
      <c r="H50" s="20">
        <f t="shared" si="0"/>
        <v>41.25</v>
      </c>
      <c r="I50" s="21">
        <v>79.04</v>
      </c>
      <c r="J50" s="22">
        <f t="shared" si="4"/>
        <v>39.52</v>
      </c>
      <c r="K50" s="20">
        <f t="shared" si="2"/>
        <v>80.77</v>
      </c>
      <c r="L50" s="23" t="s">
        <v>59</v>
      </c>
      <c r="M50" s="23" t="s">
        <v>107</v>
      </c>
      <c r="N50" s="23" t="s">
        <v>23</v>
      </c>
      <c r="O50" s="23" t="s">
        <v>31</v>
      </c>
      <c r="P50" s="17"/>
    </row>
    <row r="51" s="4" customFormat="1" ht="42" customHeight="1" spans="1:16">
      <c r="A51" s="17">
        <v>48</v>
      </c>
      <c r="B51" s="18" t="str">
        <f>"田离思"</f>
        <v>田离思</v>
      </c>
      <c r="C51" s="18" t="str">
        <f t="shared" si="6"/>
        <v>女</v>
      </c>
      <c r="D51" s="25" t="s">
        <v>100</v>
      </c>
      <c r="E51" s="17" t="s">
        <v>101</v>
      </c>
      <c r="F51" s="27" t="s">
        <v>102</v>
      </c>
      <c r="G51" s="21">
        <v>83.5</v>
      </c>
      <c r="H51" s="20">
        <f t="shared" si="0"/>
        <v>41.75</v>
      </c>
      <c r="I51" s="21">
        <v>76.58</v>
      </c>
      <c r="J51" s="22">
        <f t="shared" si="4"/>
        <v>38.29</v>
      </c>
      <c r="K51" s="20">
        <f t="shared" si="2"/>
        <v>80.04</v>
      </c>
      <c r="L51" s="23" t="s">
        <v>36</v>
      </c>
      <c r="M51" s="23" t="s">
        <v>108</v>
      </c>
      <c r="N51" s="23" t="s">
        <v>23</v>
      </c>
      <c r="O51" s="23" t="s">
        <v>31</v>
      </c>
      <c r="P51" s="17"/>
    </row>
    <row r="52" s="4" customFormat="1" ht="42" customHeight="1" spans="1:16">
      <c r="A52" s="17">
        <v>49</v>
      </c>
      <c r="B52" s="18" t="str">
        <f>"周迪"</f>
        <v>周迪</v>
      </c>
      <c r="C52" s="18" t="str">
        <f t="shared" ref="C52:C57" si="7">"女"</f>
        <v>女</v>
      </c>
      <c r="D52" s="29" t="s">
        <v>100</v>
      </c>
      <c r="E52" s="17" t="s">
        <v>109</v>
      </c>
      <c r="F52" s="27" t="s">
        <v>110</v>
      </c>
      <c r="G52" s="21">
        <v>82.25</v>
      </c>
      <c r="H52" s="20">
        <f t="shared" si="0"/>
        <v>41.125</v>
      </c>
      <c r="I52" s="21">
        <v>81.32</v>
      </c>
      <c r="J52" s="22">
        <f t="shared" ref="J52:J57" si="8">I52*0.5</f>
        <v>40.66</v>
      </c>
      <c r="K52" s="20">
        <f t="shared" si="2"/>
        <v>81.785</v>
      </c>
      <c r="L52" s="23" t="s">
        <v>21</v>
      </c>
      <c r="M52" s="23" t="s">
        <v>111</v>
      </c>
      <c r="N52" s="23" t="s">
        <v>23</v>
      </c>
      <c r="O52" s="23" t="s">
        <v>31</v>
      </c>
      <c r="P52" s="17"/>
    </row>
    <row r="53" s="4" customFormat="1" ht="42" customHeight="1" spans="1:16">
      <c r="A53" s="17">
        <v>50</v>
      </c>
      <c r="B53" s="18" t="str">
        <f>"张云"</f>
        <v>张云</v>
      </c>
      <c r="C53" s="18" t="str">
        <f t="shared" si="7"/>
        <v>女</v>
      </c>
      <c r="D53" s="29" t="s">
        <v>100</v>
      </c>
      <c r="E53" s="17" t="s">
        <v>109</v>
      </c>
      <c r="F53" s="27" t="s">
        <v>110</v>
      </c>
      <c r="G53" s="21">
        <v>83</v>
      </c>
      <c r="H53" s="20">
        <f t="shared" si="0"/>
        <v>41.5</v>
      </c>
      <c r="I53" s="21">
        <v>78.93</v>
      </c>
      <c r="J53" s="22">
        <f t="shared" si="8"/>
        <v>39.465</v>
      </c>
      <c r="K53" s="20">
        <f t="shared" si="2"/>
        <v>80.965</v>
      </c>
      <c r="L53" s="23" t="s">
        <v>22</v>
      </c>
      <c r="M53" s="23" t="s">
        <v>112</v>
      </c>
      <c r="N53" s="23" t="s">
        <v>23</v>
      </c>
      <c r="O53" s="23" t="s">
        <v>31</v>
      </c>
      <c r="P53" s="17"/>
    </row>
    <row r="54" s="4" customFormat="1" ht="42" customHeight="1" spans="1:16">
      <c r="A54" s="17">
        <v>51</v>
      </c>
      <c r="B54" s="18" t="str">
        <f>"潘银芳"</f>
        <v>潘银芳</v>
      </c>
      <c r="C54" s="18" t="str">
        <f t="shared" si="7"/>
        <v>女</v>
      </c>
      <c r="D54" s="29" t="s">
        <v>100</v>
      </c>
      <c r="E54" s="17" t="s">
        <v>109</v>
      </c>
      <c r="F54" s="27" t="s">
        <v>110</v>
      </c>
      <c r="G54" s="21">
        <v>83.5</v>
      </c>
      <c r="H54" s="20">
        <f t="shared" si="0"/>
        <v>41.75</v>
      </c>
      <c r="I54" s="21">
        <v>77.38</v>
      </c>
      <c r="J54" s="22">
        <f t="shared" si="8"/>
        <v>38.69</v>
      </c>
      <c r="K54" s="20">
        <f t="shared" si="2"/>
        <v>80.44</v>
      </c>
      <c r="L54" s="23" t="s">
        <v>30</v>
      </c>
      <c r="M54" s="23" t="s">
        <v>113</v>
      </c>
      <c r="N54" s="23" t="s">
        <v>23</v>
      </c>
      <c r="O54" s="23" t="s">
        <v>31</v>
      </c>
      <c r="P54" s="17"/>
    </row>
    <row r="55" s="4" customFormat="1" ht="42" customHeight="1" spans="1:16">
      <c r="A55" s="17">
        <v>52</v>
      </c>
      <c r="B55" s="18" t="str">
        <f>"田萌萌"</f>
        <v>田萌萌</v>
      </c>
      <c r="C55" s="18" t="str">
        <f t="shared" si="7"/>
        <v>女</v>
      </c>
      <c r="D55" s="29" t="s">
        <v>100</v>
      </c>
      <c r="E55" s="17" t="s">
        <v>109</v>
      </c>
      <c r="F55" s="27" t="s">
        <v>110</v>
      </c>
      <c r="G55" s="21">
        <v>83.25</v>
      </c>
      <c r="H55" s="20">
        <f t="shared" si="0"/>
        <v>41.625</v>
      </c>
      <c r="I55" s="21">
        <v>75.54</v>
      </c>
      <c r="J55" s="22">
        <f t="shared" si="8"/>
        <v>37.77</v>
      </c>
      <c r="K55" s="20">
        <f t="shared" si="2"/>
        <v>79.395</v>
      </c>
      <c r="L55" s="23" t="s">
        <v>45</v>
      </c>
      <c r="M55" s="23" t="s">
        <v>114</v>
      </c>
      <c r="N55" s="23" t="s">
        <v>23</v>
      </c>
      <c r="O55" s="23" t="s">
        <v>31</v>
      </c>
      <c r="P55" s="17"/>
    </row>
    <row r="56" s="4" customFormat="1" ht="42" customHeight="1" spans="1:16">
      <c r="A56" s="17">
        <v>53</v>
      </c>
      <c r="B56" s="18" t="str">
        <f>"田甜"</f>
        <v>田甜</v>
      </c>
      <c r="C56" s="18" t="str">
        <f t="shared" si="7"/>
        <v>女</v>
      </c>
      <c r="D56" s="29" t="s">
        <v>100</v>
      </c>
      <c r="E56" s="17" t="s">
        <v>109</v>
      </c>
      <c r="F56" s="27" t="s">
        <v>110</v>
      </c>
      <c r="G56" s="21">
        <v>83.75</v>
      </c>
      <c r="H56" s="20">
        <f t="shared" si="0"/>
        <v>41.875</v>
      </c>
      <c r="I56" s="21">
        <v>74.29</v>
      </c>
      <c r="J56" s="22">
        <f t="shared" si="8"/>
        <v>37.145</v>
      </c>
      <c r="K56" s="20">
        <f t="shared" si="2"/>
        <v>79.02</v>
      </c>
      <c r="L56" s="23" t="s">
        <v>59</v>
      </c>
      <c r="M56" s="23" t="s">
        <v>115</v>
      </c>
      <c r="N56" s="23" t="s">
        <v>23</v>
      </c>
      <c r="O56" s="23" t="s">
        <v>31</v>
      </c>
      <c r="P56" s="17"/>
    </row>
    <row r="57" s="4" customFormat="1" ht="42" customHeight="1" spans="1:16">
      <c r="A57" s="17">
        <v>54</v>
      </c>
      <c r="B57" s="18" t="str">
        <f>"罗谷敏"</f>
        <v>罗谷敏</v>
      </c>
      <c r="C57" s="18" t="str">
        <f t="shared" si="7"/>
        <v>女</v>
      </c>
      <c r="D57" s="29" t="s">
        <v>100</v>
      </c>
      <c r="E57" s="17" t="s">
        <v>109</v>
      </c>
      <c r="F57" s="27" t="s">
        <v>110</v>
      </c>
      <c r="G57" s="21">
        <v>86.75</v>
      </c>
      <c r="H57" s="20">
        <f t="shared" si="0"/>
        <v>43.375</v>
      </c>
      <c r="I57" s="21">
        <v>70.87</v>
      </c>
      <c r="J57" s="22">
        <f t="shared" si="8"/>
        <v>35.435</v>
      </c>
      <c r="K57" s="20">
        <f t="shared" si="2"/>
        <v>78.81</v>
      </c>
      <c r="L57" s="23" t="s">
        <v>36</v>
      </c>
      <c r="M57" s="23" t="s">
        <v>116</v>
      </c>
      <c r="N57" s="23" t="s">
        <v>23</v>
      </c>
      <c r="O57" s="23" t="s">
        <v>31</v>
      </c>
      <c r="P57" s="17"/>
    </row>
    <row r="58" s="4" customFormat="1" ht="42" customHeight="1" spans="1:16">
      <c r="A58" s="17">
        <v>55</v>
      </c>
      <c r="B58" s="18" t="str">
        <f>"郭文松"</f>
        <v>郭文松</v>
      </c>
      <c r="C58" s="18" t="str">
        <f t="shared" ref="C58:C62" si="9">"男"</f>
        <v>男</v>
      </c>
      <c r="D58" s="29" t="s">
        <v>117</v>
      </c>
      <c r="E58" s="17" t="s">
        <v>118</v>
      </c>
      <c r="F58" s="27" t="s">
        <v>119</v>
      </c>
      <c r="G58" s="21">
        <v>71.75</v>
      </c>
      <c r="H58" s="20">
        <f t="shared" ref="H58:H64" si="10">G58*0.5</f>
        <v>35.875</v>
      </c>
      <c r="I58" s="21">
        <v>81.86</v>
      </c>
      <c r="J58" s="22">
        <f t="shared" ref="J58:J64" si="11">I58*0.5</f>
        <v>40.93</v>
      </c>
      <c r="K58" s="20">
        <f t="shared" ref="K58:K64" si="12">H58+J58</f>
        <v>76.805</v>
      </c>
      <c r="L58" s="17">
        <v>1</v>
      </c>
      <c r="M58" s="17">
        <v>48</v>
      </c>
      <c r="N58" s="23" t="s">
        <v>23</v>
      </c>
      <c r="O58" s="23" t="s">
        <v>31</v>
      </c>
      <c r="P58" s="17"/>
    </row>
    <row r="59" s="4" customFormat="1" ht="42" customHeight="1" spans="1:16">
      <c r="A59" s="17">
        <v>56</v>
      </c>
      <c r="B59" s="18" t="str">
        <f>"杨孟萍"</f>
        <v>杨孟萍</v>
      </c>
      <c r="C59" s="18" t="str">
        <f t="shared" ref="C59:C63" si="13">"女"</f>
        <v>女</v>
      </c>
      <c r="D59" s="29" t="s">
        <v>117</v>
      </c>
      <c r="E59" s="17" t="s">
        <v>118</v>
      </c>
      <c r="F59" s="27" t="s">
        <v>119</v>
      </c>
      <c r="G59" s="21">
        <v>70.75</v>
      </c>
      <c r="H59" s="20">
        <f t="shared" si="10"/>
        <v>35.375</v>
      </c>
      <c r="I59" s="21">
        <v>81.72</v>
      </c>
      <c r="J59" s="22">
        <f t="shared" si="11"/>
        <v>40.86</v>
      </c>
      <c r="K59" s="20">
        <f t="shared" si="12"/>
        <v>76.235</v>
      </c>
      <c r="L59" s="17">
        <v>2</v>
      </c>
      <c r="M59" s="17">
        <v>62</v>
      </c>
      <c r="N59" s="23" t="s">
        <v>23</v>
      </c>
      <c r="O59" s="23" t="s">
        <v>31</v>
      </c>
      <c r="P59" s="17"/>
    </row>
    <row r="60" s="4" customFormat="1" ht="42" customHeight="1" spans="1:16">
      <c r="A60" s="17">
        <v>57</v>
      </c>
      <c r="B60" s="18" t="str">
        <f>"董慧娟"</f>
        <v>董慧娟</v>
      </c>
      <c r="C60" s="18" t="str">
        <f t="shared" si="13"/>
        <v>女</v>
      </c>
      <c r="D60" s="29" t="s">
        <v>117</v>
      </c>
      <c r="E60" s="17" t="s">
        <v>118</v>
      </c>
      <c r="F60" s="27" t="s">
        <v>119</v>
      </c>
      <c r="G60" s="21">
        <v>74.5</v>
      </c>
      <c r="H60" s="20">
        <f t="shared" si="10"/>
        <v>37.25</v>
      </c>
      <c r="I60" s="21">
        <v>77.36</v>
      </c>
      <c r="J60" s="22">
        <f t="shared" si="11"/>
        <v>38.68</v>
      </c>
      <c r="K60" s="20">
        <f t="shared" si="12"/>
        <v>75.93</v>
      </c>
      <c r="L60" s="17">
        <v>3</v>
      </c>
      <c r="M60" s="17">
        <v>47</v>
      </c>
      <c r="N60" s="23" t="s">
        <v>23</v>
      </c>
      <c r="O60" s="23" t="s">
        <v>31</v>
      </c>
      <c r="P60" s="17"/>
    </row>
    <row r="61" s="4" customFormat="1" ht="42" customHeight="1" spans="1:16">
      <c r="A61" s="17">
        <v>58</v>
      </c>
      <c r="B61" s="18" t="str">
        <f>"伍鑫鑫"</f>
        <v>伍鑫鑫</v>
      </c>
      <c r="C61" s="18" t="str">
        <f t="shared" si="9"/>
        <v>男</v>
      </c>
      <c r="D61" s="29" t="s">
        <v>117</v>
      </c>
      <c r="E61" s="17" t="s">
        <v>118</v>
      </c>
      <c r="F61" s="27" t="s">
        <v>119</v>
      </c>
      <c r="G61" s="21">
        <v>68.25</v>
      </c>
      <c r="H61" s="20">
        <f t="shared" si="10"/>
        <v>34.125</v>
      </c>
      <c r="I61" s="21">
        <v>77.64</v>
      </c>
      <c r="J61" s="22">
        <f t="shared" si="11"/>
        <v>38.82</v>
      </c>
      <c r="K61" s="20">
        <f t="shared" si="12"/>
        <v>72.945</v>
      </c>
      <c r="L61" s="17">
        <v>4</v>
      </c>
      <c r="M61" s="17">
        <v>51</v>
      </c>
      <c r="N61" s="23" t="s">
        <v>23</v>
      </c>
      <c r="O61" s="23" t="s">
        <v>31</v>
      </c>
      <c r="P61" s="17"/>
    </row>
    <row r="62" s="4" customFormat="1" ht="42" customHeight="1" spans="1:16">
      <c r="A62" s="17">
        <v>59</v>
      </c>
      <c r="B62" s="18" t="str">
        <f>"王钰铖"</f>
        <v>王钰铖</v>
      </c>
      <c r="C62" s="18" t="str">
        <f t="shared" si="9"/>
        <v>男</v>
      </c>
      <c r="D62" s="29" t="s">
        <v>117</v>
      </c>
      <c r="E62" s="17" t="s">
        <v>118</v>
      </c>
      <c r="F62" s="27" t="s">
        <v>119</v>
      </c>
      <c r="G62" s="21">
        <v>63.5</v>
      </c>
      <c r="H62" s="20">
        <f t="shared" si="10"/>
        <v>31.75</v>
      </c>
      <c r="I62" s="21">
        <v>81.45</v>
      </c>
      <c r="J62" s="22">
        <f t="shared" si="11"/>
        <v>40.725</v>
      </c>
      <c r="K62" s="20">
        <f t="shared" si="12"/>
        <v>72.475</v>
      </c>
      <c r="L62" s="17">
        <v>5</v>
      </c>
      <c r="M62" s="17">
        <v>75</v>
      </c>
      <c r="N62" s="23" t="s">
        <v>23</v>
      </c>
      <c r="O62" s="23" t="s">
        <v>31</v>
      </c>
      <c r="P62" s="17"/>
    </row>
    <row r="63" s="4" customFormat="1" ht="42" customHeight="1" spans="1:16">
      <c r="A63" s="17">
        <v>60</v>
      </c>
      <c r="B63" s="18" t="str">
        <f>" 肖雪"</f>
        <v> 肖雪</v>
      </c>
      <c r="C63" s="18" t="str">
        <f t="shared" si="13"/>
        <v>女</v>
      </c>
      <c r="D63" s="29" t="s">
        <v>117</v>
      </c>
      <c r="E63" s="17" t="s">
        <v>118</v>
      </c>
      <c r="F63" s="27" t="s">
        <v>119</v>
      </c>
      <c r="G63" s="21">
        <v>58</v>
      </c>
      <c r="H63" s="20">
        <f t="shared" si="10"/>
        <v>29</v>
      </c>
      <c r="I63" s="21">
        <v>82.56</v>
      </c>
      <c r="J63" s="22">
        <f t="shared" si="11"/>
        <v>41.28</v>
      </c>
      <c r="K63" s="20">
        <f t="shared" si="12"/>
        <v>70.28</v>
      </c>
      <c r="L63" s="17">
        <v>6</v>
      </c>
      <c r="M63" s="17">
        <v>50</v>
      </c>
      <c r="N63" s="23" t="s">
        <v>23</v>
      </c>
      <c r="O63" s="23" t="s">
        <v>31</v>
      </c>
      <c r="P63" s="17"/>
    </row>
    <row r="64" s="4" customFormat="1" ht="42" customHeight="1" spans="1:16">
      <c r="A64" s="17">
        <v>61</v>
      </c>
      <c r="B64" s="18" t="str">
        <f>"郭爽"</f>
        <v>郭爽</v>
      </c>
      <c r="C64" s="18" t="str">
        <f>"男"</f>
        <v>男</v>
      </c>
      <c r="D64" s="29" t="s">
        <v>117</v>
      </c>
      <c r="E64" s="17" t="s">
        <v>118</v>
      </c>
      <c r="F64" s="27" t="s">
        <v>119</v>
      </c>
      <c r="G64" s="21">
        <v>60.75</v>
      </c>
      <c r="H64" s="20">
        <f t="shared" si="10"/>
        <v>30.375</v>
      </c>
      <c r="I64" s="21">
        <v>79.72</v>
      </c>
      <c r="J64" s="22">
        <f t="shared" si="11"/>
        <v>39.86</v>
      </c>
      <c r="K64" s="20">
        <f t="shared" si="12"/>
        <v>70.235</v>
      </c>
      <c r="L64" s="17">
        <v>7</v>
      </c>
      <c r="M64" s="17">
        <v>64</v>
      </c>
      <c r="N64" s="23" t="s">
        <v>23</v>
      </c>
      <c r="O64" s="23" t="s">
        <v>31</v>
      </c>
      <c r="P64" s="17"/>
    </row>
    <row r="65" s="4" customFormat="1" ht="42" customHeight="1" spans="1:16">
      <c r="A65" s="17">
        <v>62</v>
      </c>
      <c r="B65" s="18" t="str">
        <f>"蒋水清"</f>
        <v>蒋水清</v>
      </c>
      <c r="C65" s="18" t="str">
        <f>"男"</f>
        <v>男</v>
      </c>
      <c r="D65" s="29" t="s">
        <v>117</v>
      </c>
      <c r="E65" s="17" t="s">
        <v>120</v>
      </c>
      <c r="F65" s="27" t="s">
        <v>121</v>
      </c>
      <c r="G65" s="21">
        <v>75.25</v>
      </c>
      <c r="H65" s="20">
        <f t="shared" ref="H65:H77" si="14">G65*0.5</f>
        <v>37.625</v>
      </c>
      <c r="I65" s="21">
        <v>83.44</v>
      </c>
      <c r="J65" s="22">
        <f t="shared" ref="J65:J77" si="15">I65*0.5</f>
        <v>41.72</v>
      </c>
      <c r="K65" s="20">
        <f t="shared" ref="K65:K77" si="16">H65+J65</f>
        <v>79.345</v>
      </c>
      <c r="L65" s="23" t="s">
        <v>21</v>
      </c>
      <c r="M65" s="23" t="s">
        <v>122</v>
      </c>
      <c r="N65" s="23" t="s">
        <v>23</v>
      </c>
      <c r="O65" s="23" t="s">
        <v>31</v>
      </c>
      <c r="P65" s="17"/>
    </row>
    <row r="66" s="4" customFormat="1" ht="42" customHeight="1" spans="1:16">
      <c r="A66" s="17">
        <v>63</v>
      </c>
      <c r="B66" s="18" t="str">
        <f>"冯浩"</f>
        <v>冯浩</v>
      </c>
      <c r="C66" s="18" t="str">
        <f>"男"</f>
        <v>男</v>
      </c>
      <c r="D66" s="29" t="s">
        <v>117</v>
      </c>
      <c r="E66" s="17" t="s">
        <v>120</v>
      </c>
      <c r="F66" s="27" t="s">
        <v>121</v>
      </c>
      <c r="G66" s="21">
        <v>77</v>
      </c>
      <c r="H66" s="20">
        <f t="shared" si="14"/>
        <v>38.5</v>
      </c>
      <c r="I66" s="21">
        <v>74.55</v>
      </c>
      <c r="J66" s="22">
        <f t="shared" si="15"/>
        <v>37.275</v>
      </c>
      <c r="K66" s="20">
        <f t="shared" si="16"/>
        <v>75.775</v>
      </c>
      <c r="L66" s="23" t="s">
        <v>22</v>
      </c>
      <c r="M66" s="23" t="s">
        <v>123</v>
      </c>
      <c r="N66" s="23" t="s">
        <v>23</v>
      </c>
      <c r="O66" s="23" t="s">
        <v>31</v>
      </c>
      <c r="P66" s="17"/>
    </row>
    <row r="67" s="4" customFormat="1" ht="42" customHeight="1" spans="1:16">
      <c r="A67" s="17">
        <v>64</v>
      </c>
      <c r="B67" s="18" t="str">
        <f>"欧秀玲"</f>
        <v>欧秀玲</v>
      </c>
      <c r="C67" s="18" t="str">
        <f t="shared" ref="C67:C70" si="17">"女"</f>
        <v>女</v>
      </c>
      <c r="D67" s="29" t="s">
        <v>117</v>
      </c>
      <c r="E67" s="17" t="s">
        <v>120</v>
      </c>
      <c r="F67" s="27" t="s">
        <v>121</v>
      </c>
      <c r="G67" s="21">
        <v>67.75</v>
      </c>
      <c r="H67" s="20">
        <f t="shared" si="14"/>
        <v>33.875</v>
      </c>
      <c r="I67" s="21">
        <v>82.1</v>
      </c>
      <c r="J67" s="22">
        <f t="shared" si="15"/>
        <v>41.05</v>
      </c>
      <c r="K67" s="20">
        <f t="shared" si="16"/>
        <v>74.925</v>
      </c>
      <c r="L67" s="23" t="s">
        <v>30</v>
      </c>
      <c r="M67" s="23" t="s">
        <v>124</v>
      </c>
      <c r="N67" s="23" t="s">
        <v>23</v>
      </c>
      <c r="O67" s="23" t="s">
        <v>31</v>
      </c>
      <c r="P67" s="17"/>
    </row>
    <row r="68" s="4" customFormat="1" ht="42" customHeight="1" spans="1:16">
      <c r="A68" s="17">
        <v>65</v>
      </c>
      <c r="B68" s="18" t="str">
        <f>"杨霏"</f>
        <v>杨霏</v>
      </c>
      <c r="C68" s="18" t="str">
        <f t="shared" si="17"/>
        <v>女</v>
      </c>
      <c r="D68" s="29" t="s">
        <v>117</v>
      </c>
      <c r="E68" s="17" t="s">
        <v>120</v>
      </c>
      <c r="F68" s="27" t="s">
        <v>121</v>
      </c>
      <c r="G68" s="21">
        <v>69.75</v>
      </c>
      <c r="H68" s="20">
        <f t="shared" si="14"/>
        <v>34.875</v>
      </c>
      <c r="I68" s="21">
        <v>79.23</v>
      </c>
      <c r="J68" s="22">
        <f t="shared" si="15"/>
        <v>39.615</v>
      </c>
      <c r="K68" s="20">
        <f t="shared" si="16"/>
        <v>74.49</v>
      </c>
      <c r="L68" s="23" t="s">
        <v>45</v>
      </c>
      <c r="M68" s="23" t="s">
        <v>125</v>
      </c>
      <c r="N68" s="23" t="s">
        <v>23</v>
      </c>
      <c r="O68" s="23" t="s">
        <v>31</v>
      </c>
      <c r="P68" s="17"/>
    </row>
    <row r="69" s="4" customFormat="1" ht="42" customHeight="1" spans="1:16">
      <c r="A69" s="17">
        <v>66</v>
      </c>
      <c r="B69" s="18" t="str">
        <f>"胡海陶"</f>
        <v>胡海陶</v>
      </c>
      <c r="C69" s="18" t="str">
        <f>"男"</f>
        <v>男</v>
      </c>
      <c r="D69" s="29" t="s">
        <v>117</v>
      </c>
      <c r="E69" s="17" t="s">
        <v>120</v>
      </c>
      <c r="F69" s="27" t="s">
        <v>121</v>
      </c>
      <c r="G69" s="21">
        <v>75.25</v>
      </c>
      <c r="H69" s="20">
        <f t="shared" si="14"/>
        <v>37.625</v>
      </c>
      <c r="I69" s="21">
        <v>72.87</v>
      </c>
      <c r="J69" s="22">
        <f t="shared" si="15"/>
        <v>36.435</v>
      </c>
      <c r="K69" s="20">
        <f t="shared" si="16"/>
        <v>74.06</v>
      </c>
      <c r="L69" s="23" t="s">
        <v>59</v>
      </c>
      <c r="M69" s="23" t="s">
        <v>126</v>
      </c>
      <c r="N69" s="23" t="s">
        <v>23</v>
      </c>
      <c r="O69" s="23" t="s">
        <v>31</v>
      </c>
      <c r="P69" s="17"/>
    </row>
    <row r="70" s="4" customFormat="1" ht="42" customHeight="1" spans="1:16">
      <c r="A70" s="17">
        <v>67</v>
      </c>
      <c r="B70" s="18" t="str">
        <f>"赵艺"</f>
        <v>赵艺</v>
      </c>
      <c r="C70" s="18" t="str">
        <f t="shared" si="17"/>
        <v>女</v>
      </c>
      <c r="D70" s="29" t="s">
        <v>117</v>
      </c>
      <c r="E70" s="17" t="s">
        <v>120</v>
      </c>
      <c r="F70" s="27" t="s">
        <v>121</v>
      </c>
      <c r="G70" s="21">
        <v>66.25</v>
      </c>
      <c r="H70" s="20">
        <f t="shared" si="14"/>
        <v>33.125</v>
      </c>
      <c r="I70" s="21">
        <v>81.82</v>
      </c>
      <c r="J70" s="22">
        <f t="shared" si="15"/>
        <v>40.91</v>
      </c>
      <c r="K70" s="20">
        <f t="shared" si="16"/>
        <v>74.035</v>
      </c>
      <c r="L70" s="23" t="s">
        <v>36</v>
      </c>
      <c r="M70" s="23" t="s">
        <v>127</v>
      </c>
      <c r="N70" s="23" t="s">
        <v>23</v>
      </c>
      <c r="O70" s="23" t="s">
        <v>31</v>
      </c>
      <c r="P70" s="17"/>
    </row>
    <row r="71" s="4" customFormat="1" ht="42" customHeight="1" spans="1:16">
      <c r="A71" s="17">
        <v>68</v>
      </c>
      <c r="B71" s="18" t="str">
        <f>"王荣伟"</f>
        <v>王荣伟</v>
      </c>
      <c r="C71" s="18" t="str">
        <f>"男"</f>
        <v>男</v>
      </c>
      <c r="D71" s="29" t="s">
        <v>117</v>
      </c>
      <c r="E71" s="17" t="s">
        <v>120</v>
      </c>
      <c r="F71" s="27" t="s">
        <v>121</v>
      </c>
      <c r="G71" s="21">
        <v>65.5</v>
      </c>
      <c r="H71" s="20">
        <f t="shared" si="14"/>
        <v>32.75</v>
      </c>
      <c r="I71" s="21">
        <v>79.64</v>
      </c>
      <c r="J71" s="22">
        <f t="shared" si="15"/>
        <v>39.82</v>
      </c>
      <c r="K71" s="20">
        <f t="shared" si="16"/>
        <v>72.57</v>
      </c>
      <c r="L71" s="23" t="s">
        <v>58</v>
      </c>
      <c r="M71" s="23" t="s">
        <v>128</v>
      </c>
      <c r="N71" s="23" t="s">
        <v>23</v>
      </c>
      <c r="O71" s="23" t="s">
        <v>31</v>
      </c>
      <c r="P71" s="17"/>
    </row>
    <row r="72" s="4" customFormat="1" ht="42" customHeight="1" spans="1:16">
      <c r="A72" s="17">
        <v>69</v>
      </c>
      <c r="B72" s="18" t="str">
        <f>"王跃东"</f>
        <v>王跃东</v>
      </c>
      <c r="C72" s="18" t="str">
        <f>"男"</f>
        <v>男</v>
      </c>
      <c r="D72" s="29" t="s">
        <v>129</v>
      </c>
      <c r="E72" s="17" t="s">
        <v>130</v>
      </c>
      <c r="F72" s="27" t="s">
        <v>131</v>
      </c>
      <c r="G72" s="21">
        <v>74.2</v>
      </c>
      <c r="H72" s="20">
        <f t="shared" si="14"/>
        <v>37.1</v>
      </c>
      <c r="I72" s="21">
        <v>87.85</v>
      </c>
      <c r="J72" s="22">
        <f t="shared" si="15"/>
        <v>43.925</v>
      </c>
      <c r="K72" s="20">
        <f t="shared" si="16"/>
        <v>81.025</v>
      </c>
      <c r="L72" s="23" t="s">
        <v>21</v>
      </c>
      <c r="M72" s="23" t="s">
        <v>132</v>
      </c>
      <c r="N72" s="23" t="s">
        <v>23</v>
      </c>
      <c r="O72" s="23" t="s">
        <v>31</v>
      </c>
      <c r="P72" s="17"/>
    </row>
    <row r="73" s="4" customFormat="1" ht="42" customHeight="1" spans="1:16">
      <c r="A73" s="17">
        <v>70</v>
      </c>
      <c r="B73" s="18" t="str">
        <f>"张旭"</f>
        <v>张旭</v>
      </c>
      <c r="C73" s="18" t="str">
        <f>"女"</f>
        <v>女</v>
      </c>
      <c r="D73" s="29" t="s">
        <v>129</v>
      </c>
      <c r="E73" s="17" t="s">
        <v>130</v>
      </c>
      <c r="F73" s="27" t="s">
        <v>131</v>
      </c>
      <c r="G73" s="21">
        <v>70.3</v>
      </c>
      <c r="H73" s="20">
        <f t="shared" si="14"/>
        <v>35.15</v>
      </c>
      <c r="I73" s="21">
        <v>87.5</v>
      </c>
      <c r="J73" s="22">
        <f t="shared" si="15"/>
        <v>43.75</v>
      </c>
      <c r="K73" s="20">
        <f t="shared" si="16"/>
        <v>78.9</v>
      </c>
      <c r="L73" s="23" t="s">
        <v>22</v>
      </c>
      <c r="M73" s="23" t="s">
        <v>133</v>
      </c>
      <c r="N73" s="23" t="s">
        <v>23</v>
      </c>
      <c r="O73" s="23" t="s">
        <v>31</v>
      </c>
      <c r="P73" s="17"/>
    </row>
    <row r="74" s="4" customFormat="1" ht="42" customHeight="1" spans="1:16">
      <c r="A74" s="17">
        <v>71</v>
      </c>
      <c r="B74" s="18" t="str">
        <f>"詹旋"</f>
        <v>詹旋</v>
      </c>
      <c r="C74" s="18" t="str">
        <f>"女"</f>
        <v>女</v>
      </c>
      <c r="D74" s="29" t="s">
        <v>129</v>
      </c>
      <c r="E74" s="17" t="s">
        <v>130</v>
      </c>
      <c r="F74" s="27" t="s">
        <v>131</v>
      </c>
      <c r="G74" s="21">
        <v>72.05</v>
      </c>
      <c r="H74" s="20">
        <f t="shared" si="14"/>
        <v>36.025</v>
      </c>
      <c r="I74" s="21">
        <v>85.5</v>
      </c>
      <c r="J74" s="22">
        <f t="shared" si="15"/>
        <v>42.75</v>
      </c>
      <c r="K74" s="20">
        <f t="shared" si="16"/>
        <v>78.775</v>
      </c>
      <c r="L74" s="23" t="s">
        <v>30</v>
      </c>
      <c r="M74" s="23" t="s">
        <v>134</v>
      </c>
      <c r="N74" s="23" t="s">
        <v>23</v>
      </c>
      <c r="O74" s="23" t="s">
        <v>31</v>
      </c>
      <c r="P74" s="17"/>
    </row>
    <row r="75" s="4" customFormat="1" ht="42" customHeight="1" spans="1:16">
      <c r="A75" s="17">
        <v>72</v>
      </c>
      <c r="B75" s="18" t="str">
        <f>"孙蒙"</f>
        <v>孙蒙</v>
      </c>
      <c r="C75" s="18" t="str">
        <f>"女"</f>
        <v>女</v>
      </c>
      <c r="D75" s="29" t="s">
        <v>129</v>
      </c>
      <c r="E75" s="17" t="s">
        <v>130</v>
      </c>
      <c r="F75" s="27" t="s">
        <v>131</v>
      </c>
      <c r="G75" s="21">
        <v>69.8</v>
      </c>
      <c r="H75" s="20">
        <f t="shared" si="14"/>
        <v>34.9</v>
      </c>
      <c r="I75" s="21">
        <v>85.05</v>
      </c>
      <c r="J75" s="22">
        <f t="shared" si="15"/>
        <v>42.525</v>
      </c>
      <c r="K75" s="20">
        <f t="shared" si="16"/>
        <v>77.425</v>
      </c>
      <c r="L75" s="23" t="s">
        <v>45</v>
      </c>
      <c r="M75" s="23" t="s">
        <v>135</v>
      </c>
      <c r="N75" s="23" t="s">
        <v>23</v>
      </c>
      <c r="O75" s="23" t="s">
        <v>31</v>
      </c>
      <c r="P75" s="17"/>
    </row>
    <row r="76" s="4" customFormat="1" ht="42" customHeight="1" spans="1:16">
      <c r="A76" s="17">
        <v>73</v>
      </c>
      <c r="B76" s="18" t="str">
        <f>"吴玉美"</f>
        <v>吴玉美</v>
      </c>
      <c r="C76" s="18" t="str">
        <f>"女"</f>
        <v>女</v>
      </c>
      <c r="D76" s="29" t="s">
        <v>129</v>
      </c>
      <c r="E76" s="17" t="s">
        <v>130</v>
      </c>
      <c r="F76" s="27" t="s">
        <v>131</v>
      </c>
      <c r="G76" s="21">
        <v>67.65</v>
      </c>
      <c r="H76" s="20">
        <f t="shared" si="14"/>
        <v>33.825</v>
      </c>
      <c r="I76" s="21">
        <v>86.93</v>
      </c>
      <c r="J76" s="22">
        <f t="shared" si="15"/>
        <v>43.465</v>
      </c>
      <c r="K76" s="20">
        <f t="shared" si="16"/>
        <v>77.29</v>
      </c>
      <c r="L76" s="23" t="s">
        <v>59</v>
      </c>
      <c r="M76" s="23" t="s">
        <v>136</v>
      </c>
      <c r="N76" s="23" t="s">
        <v>23</v>
      </c>
      <c r="O76" s="23" t="s">
        <v>31</v>
      </c>
      <c r="P76" s="17"/>
    </row>
    <row r="77" s="4" customFormat="1" ht="42" customHeight="1" spans="1:16">
      <c r="A77" s="17">
        <v>74</v>
      </c>
      <c r="B77" s="18" t="str">
        <f>"肖垚"</f>
        <v>肖垚</v>
      </c>
      <c r="C77" s="18" t="str">
        <f>"男"</f>
        <v>男</v>
      </c>
      <c r="D77" s="29" t="s">
        <v>129</v>
      </c>
      <c r="E77" s="17" t="s">
        <v>130</v>
      </c>
      <c r="F77" s="27" t="s">
        <v>131</v>
      </c>
      <c r="G77" s="21">
        <v>66.5</v>
      </c>
      <c r="H77" s="20">
        <f t="shared" si="14"/>
        <v>33.25</v>
      </c>
      <c r="I77" s="21">
        <v>86.53</v>
      </c>
      <c r="J77" s="22">
        <f t="shared" si="15"/>
        <v>43.265</v>
      </c>
      <c r="K77" s="20">
        <f t="shared" si="16"/>
        <v>76.515</v>
      </c>
      <c r="L77" s="23" t="s">
        <v>36</v>
      </c>
      <c r="M77" s="23" t="s">
        <v>137</v>
      </c>
      <c r="N77" s="23" t="s">
        <v>23</v>
      </c>
      <c r="O77" s="23" t="s">
        <v>31</v>
      </c>
      <c r="P77" s="17"/>
    </row>
  </sheetData>
  <autoFilter xmlns:etc="http://www.wps.cn/officeDocument/2017/etCustomData" ref="A3:P77" etc:filterBottomFollowUsedRange="0">
    <extLst/>
  </autoFilter>
  <mergeCells count="1">
    <mergeCell ref="A2:P2"/>
  </mergeCells>
  <pageMargins left="0.700694444444445" right="0.700694444444445" top="0.751388888888889" bottom="0.751388888888889" header="0.298611111111111" footer="0.298611111111111"/>
  <pageSetup paperSize="9" scale="5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Mythic</cp:lastModifiedBy>
  <dcterms:created xsi:type="dcterms:W3CDTF">2023-05-12T11:15:00Z</dcterms:created>
  <dcterms:modified xsi:type="dcterms:W3CDTF">2026-09-04T08:57:00Z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2BC714426B154523AAA5B7214407CE73_13</vt:lpwstr>
  </property>
  <property fmtid="{D5CDD505-2E9C-101B-9397-08002B2CF9AE}" pid="4" name="CalculationRule">
    <vt:i4>0</vt:i4>
  </property>
</Properties>
</file>