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95"/>
  </bookViews>
  <sheets>
    <sheet name="笔试成绩" sheetId="1" r:id="rId1"/>
  </sheets>
  <definedNames>
    <definedName name="_xlnm._FilterDatabase" localSheetId="0" hidden="1">笔试成绩!$A$3:$E$9846</definedName>
    <definedName name="_xlnm.Print_Titles" localSheetId="0">笔试成绩!$2:$3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<sst xmlns="http://schemas.openxmlformats.org/spreadsheetml/2006/main" count="9850" uniqueCount="16">
  <si>
    <t>附件1</t>
  </si>
  <si>
    <t>铜仁市2025年城市社区工作者笔试成绩排名</t>
  </si>
  <si>
    <t>岗位代码</t>
  </si>
  <si>
    <t>准考证号</t>
  </si>
  <si>
    <t>所属区（县）</t>
  </si>
  <si>
    <t>笔试成绩</t>
  </si>
  <si>
    <t>岗位排名</t>
  </si>
  <si>
    <r>
      <rPr>
        <sz val="14"/>
        <color theme="1"/>
        <rFont val="宋体"/>
        <charset val="134"/>
      </rPr>
      <t>碧江区</t>
    </r>
  </si>
  <si>
    <r>
      <rPr>
        <sz val="14"/>
        <color theme="1"/>
        <rFont val="宋体"/>
        <charset val="134"/>
      </rPr>
      <t>松桃县</t>
    </r>
  </si>
  <si>
    <r>
      <rPr>
        <sz val="14"/>
        <color theme="1"/>
        <rFont val="宋体"/>
        <charset val="134"/>
      </rPr>
      <t>玉屏县</t>
    </r>
  </si>
  <si>
    <r>
      <rPr>
        <sz val="14"/>
        <color theme="1"/>
        <rFont val="宋体"/>
        <charset val="134"/>
      </rPr>
      <t>江口县</t>
    </r>
  </si>
  <si>
    <r>
      <rPr>
        <sz val="14"/>
        <color theme="1"/>
        <rFont val="宋体"/>
        <charset val="134"/>
      </rPr>
      <t>石阡县</t>
    </r>
  </si>
  <si>
    <r>
      <rPr>
        <sz val="14"/>
        <color theme="1"/>
        <rFont val="宋体"/>
        <charset val="134"/>
      </rPr>
      <t>印江县</t>
    </r>
  </si>
  <si>
    <r>
      <rPr>
        <sz val="14"/>
        <color theme="1"/>
        <rFont val="宋体"/>
        <charset val="134"/>
      </rPr>
      <t>思南县</t>
    </r>
  </si>
  <si>
    <r>
      <rPr>
        <sz val="14"/>
        <color theme="1"/>
        <rFont val="宋体"/>
        <charset val="134"/>
      </rPr>
      <t>德江县</t>
    </r>
  </si>
  <si>
    <r>
      <rPr>
        <sz val="14"/>
        <color theme="1"/>
        <rFont val="宋体"/>
        <charset val="134"/>
      </rPr>
      <t>沿河县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</si>
</sst>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846"/>
  <sheetViews>
    <sheetView tabSelected="1" zoomScaleSheetLayoutView="60" workbookViewId="0">
      <selection activeCell="C12" sqref="C12"/>
    </sheetView>
  </sheetViews>
  <sheetFormatPr defaultColWidth="9" defaultRowHeight="13.5" outlineLevelCol="4"/>
  <cols>
    <col min="1" max="1" width="16.9916666666667" style="4" customWidth="1"/>
    <col min="2" max="2" width="20.2666666666667" style="4" customWidth="1"/>
    <col min="3" max="3" width="21.875" style="4" customWidth="1"/>
    <col min="4" max="4" width="17.5916666666667" style="4" customWidth="1"/>
    <col min="5" max="5" width="17.125" style="4" customWidth="1"/>
    <col min="6" max="16384" width="9" style="4"/>
  </cols>
  <sheetData>
    <row r="1" s="1" customFormat="1" ht="24" customHeight="1" spans="1:1">
      <c r="A1" s="5" t="s">
        <v>0</v>
      </c>
    </row>
    <row r="2" ht="29.25" spans="1:5">
      <c r="A2" s="6" t="s">
        <v>1</v>
      </c>
      <c r="B2" s="6"/>
      <c r="C2" s="6"/>
      <c r="D2" s="6"/>
      <c r="E2" s="6"/>
    </row>
    <row r="3" s="2" customFormat="1" ht="36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3" customFormat="1" ht="18.75" spans="1:5">
      <c r="A4" s="8" t="str">
        <f t="shared" ref="A4:A67" si="0">"250001"</f>
        <v>250001</v>
      </c>
      <c r="B4" s="8" t="str">
        <f>"2561401010514"</f>
        <v>2561401010514</v>
      </c>
      <c r="C4" s="8" t="s">
        <v>7</v>
      </c>
      <c r="D4" s="9">
        <v>70.78</v>
      </c>
      <c r="E4" s="8">
        <v>1</v>
      </c>
    </row>
    <row r="5" s="3" customFormat="1" ht="18.75" spans="1:5">
      <c r="A5" s="8" t="str">
        <f t="shared" si="0"/>
        <v>250001</v>
      </c>
      <c r="B5" s="8" t="str">
        <f>"2561401010120"</f>
        <v>2561401010120</v>
      </c>
      <c r="C5" s="8" t="s">
        <v>7</v>
      </c>
      <c r="D5" s="9">
        <v>70.57</v>
      </c>
      <c r="E5" s="8">
        <v>2</v>
      </c>
    </row>
    <row r="6" s="3" customFormat="1" ht="18.75" spans="1:5">
      <c r="A6" s="8" t="str">
        <f t="shared" si="0"/>
        <v>250001</v>
      </c>
      <c r="B6" s="8" t="str">
        <f>"2561401010117"</f>
        <v>2561401010117</v>
      </c>
      <c r="C6" s="8" t="s">
        <v>7</v>
      </c>
      <c r="D6" s="9">
        <v>69.37</v>
      </c>
      <c r="E6" s="8">
        <v>3</v>
      </c>
    </row>
    <row r="7" s="3" customFormat="1" ht="18.75" spans="1:5">
      <c r="A7" s="8" t="str">
        <f t="shared" si="0"/>
        <v>250001</v>
      </c>
      <c r="B7" s="8" t="str">
        <f>"2561401010614"</f>
        <v>2561401010614</v>
      </c>
      <c r="C7" s="8" t="s">
        <v>7</v>
      </c>
      <c r="D7" s="9">
        <v>69.26</v>
      </c>
      <c r="E7" s="8">
        <v>4</v>
      </c>
    </row>
    <row r="8" s="3" customFormat="1" ht="18.75" spans="1:5">
      <c r="A8" s="8" t="str">
        <f t="shared" si="0"/>
        <v>250001</v>
      </c>
      <c r="B8" s="8" t="str">
        <f>"2561401010917"</f>
        <v>2561401010917</v>
      </c>
      <c r="C8" s="8" t="s">
        <v>7</v>
      </c>
      <c r="D8" s="9">
        <v>68.2</v>
      </c>
      <c r="E8" s="8">
        <v>5</v>
      </c>
    </row>
    <row r="9" s="3" customFormat="1" ht="18.75" spans="1:5">
      <c r="A9" s="8" t="str">
        <f t="shared" si="0"/>
        <v>250001</v>
      </c>
      <c r="B9" s="8" t="str">
        <f>"2561401010527"</f>
        <v>2561401010527</v>
      </c>
      <c r="C9" s="8" t="s">
        <v>7</v>
      </c>
      <c r="D9" s="9">
        <v>67.67</v>
      </c>
      <c r="E9" s="8">
        <v>6</v>
      </c>
    </row>
    <row r="10" s="3" customFormat="1" ht="18.75" spans="1:5">
      <c r="A10" s="8" t="str">
        <f t="shared" si="0"/>
        <v>250001</v>
      </c>
      <c r="B10" s="8" t="str">
        <f>"2561401010728"</f>
        <v>2561401010728</v>
      </c>
      <c r="C10" s="8" t="s">
        <v>7</v>
      </c>
      <c r="D10" s="9">
        <v>67.56</v>
      </c>
      <c r="E10" s="8">
        <v>7</v>
      </c>
    </row>
    <row r="11" s="3" customFormat="1" ht="18.75" spans="1:5">
      <c r="A11" s="8" t="str">
        <f t="shared" si="0"/>
        <v>250001</v>
      </c>
      <c r="B11" s="8" t="str">
        <f>"2561401010212"</f>
        <v>2561401010212</v>
      </c>
      <c r="C11" s="8" t="s">
        <v>7</v>
      </c>
      <c r="D11" s="9">
        <v>67.14</v>
      </c>
      <c r="E11" s="8">
        <v>8</v>
      </c>
    </row>
    <row r="12" s="3" customFormat="1" ht="18.75" spans="1:5">
      <c r="A12" s="8" t="str">
        <f t="shared" si="0"/>
        <v>250001</v>
      </c>
      <c r="B12" s="8" t="str">
        <f>"2561401011016"</f>
        <v>2561401011016</v>
      </c>
      <c r="C12" s="8" t="s">
        <v>7</v>
      </c>
      <c r="D12" s="9">
        <v>67.14</v>
      </c>
      <c r="E12" s="8">
        <v>8</v>
      </c>
    </row>
    <row r="13" s="3" customFormat="1" ht="18.75" spans="1:5">
      <c r="A13" s="8" t="str">
        <f t="shared" si="0"/>
        <v>250001</v>
      </c>
      <c r="B13" s="8" t="str">
        <f>"2561401010511"</f>
        <v>2561401010511</v>
      </c>
      <c r="C13" s="8" t="s">
        <v>7</v>
      </c>
      <c r="D13" s="9">
        <v>66.63</v>
      </c>
      <c r="E13" s="8">
        <v>10</v>
      </c>
    </row>
    <row r="14" s="3" customFormat="1" ht="18.75" spans="1:5">
      <c r="A14" s="8" t="str">
        <f t="shared" si="0"/>
        <v>250001</v>
      </c>
      <c r="B14" s="8" t="str">
        <f>"2561401010325"</f>
        <v>2561401010325</v>
      </c>
      <c r="C14" s="8" t="s">
        <v>7</v>
      </c>
      <c r="D14" s="9">
        <v>65.52</v>
      </c>
      <c r="E14" s="8">
        <v>11</v>
      </c>
    </row>
    <row r="15" s="3" customFormat="1" ht="18.75" spans="1:5">
      <c r="A15" s="8" t="str">
        <f t="shared" si="0"/>
        <v>250001</v>
      </c>
      <c r="B15" s="8" t="str">
        <f>"2561401010729"</f>
        <v>2561401010729</v>
      </c>
      <c r="C15" s="8" t="s">
        <v>7</v>
      </c>
      <c r="D15" s="9">
        <v>65.52</v>
      </c>
      <c r="E15" s="8">
        <v>11</v>
      </c>
    </row>
    <row r="16" s="3" customFormat="1" ht="18.75" spans="1:5">
      <c r="A16" s="8" t="str">
        <f t="shared" si="0"/>
        <v>250001</v>
      </c>
      <c r="B16" s="8" t="str">
        <f>"2561401010209"</f>
        <v>2561401010209</v>
      </c>
      <c r="C16" s="8" t="s">
        <v>7</v>
      </c>
      <c r="D16" s="9">
        <v>65.41</v>
      </c>
      <c r="E16" s="8">
        <v>13</v>
      </c>
    </row>
    <row r="17" s="3" customFormat="1" ht="18.75" spans="1:5">
      <c r="A17" s="8" t="str">
        <f t="shared" si="0"/>
        <v>250001</v>
      </c>
      <c r="B17" s="8" t="str">
        <f>"2561401010808"</f>
        <v>2561401010808</v>
      </c>
      <c r="C17" s="8" t="s">
        <v>7</v>
      </c>
      <c r="D17" s="9">
        <v>64.83</v>
      </c>
      <c r="E17" s="8">
        <v>14</v>
      </c>
    </row>
    <row r="18" s="3" customFormat="1" ht="18.75" spans="1:5">
      <c r="A18" s="8" t="str">
        <f t="shared" si="0"/>
        <v>250001</v>
      </c>
      <c r="B18" s="8" t="str">
        <f>"2561401010217"</f>
        <v>2561401010217</v>
      </c>
      <c r="C18" s="8" t="s">
        <v>7</v>
      </c>
      <c r="D18" s="9">
        <v>64.7</v>
      </c>
      <c r="E18" s="8">
        <v>15</v>
      </c>
    </row>
    <row r="19" s="3" customFormat="1" ht="18.75" spans="1:5">
      <c r="A19" s="8" t="str">
        <f t="shared" si="0"/>
        <v>250001</v>
      </c>
      <c r="B19" s="8" t="str">
        <f>"2561401010812"</f>
        <v>2561401010812</v>
      </c>
      <c r="C19" s="8" t="s">
        <v>7</v>
      </c>
      <c r="D19" s="9">
        <v>64.69</v>
      </c>
      <c r="E19" s="8">
        <v>16</v>
      </c>
    </row>
    <row r="20" s="3" customFormat="1" ht="18.75" spans="1:5">
      <c r="A20" s="8" t="str">
        <f t="shared" si="0"/>
        <v>250001</v>
      </c>
      <c r="B20" s="8" t="str">
        <f>"2561401010126"</f>
        <v>2561401010126</v>
      </c>
      <c r="C20" s="8" t="s">
        <v>7</v>
      </c>
      <c r="D20" s="9">
        <v>64.52</v>
      </c>
      <c r="E20" s="8">
        <v>17</v>
      </c>
    </row>
    <row r="21" s="3" customFormat="1" ht="18.75" spans="1:5">
      <c r="A21" s="8" t="str">
        <f t="shared" si="0"/>
        <v>250001</v>
      </c>
      <c r="B21" s="8" t="str">
        <f>"2561401010630"</f>
        <v>2561401010630</v>
      </c>
      <c r="C21" s="8" t="s">
        <v>7</v>
      </c>
      <c r="D21" s="9">
        <v>64.29</v>
      </c>
      <c r="E21" s="8">
        <v>18</v>
      </c>
    </row>
    <row r="22" s="3" customFormat="1" ht="18.75" spans="1:5">
      <c r="A22" s="8" t="str">
        <f t="shared" si="0"/>
        <v>250001</v>
      </c>
      <c r="B22" s="8" t="str">
        <f>"2561401010711"</f>
        <v>2561401010711</v>
      </c>
      <c r="C22" s="8" t="s">
        <v>7</v>
      </c>
      <c r="D22" s="9">
        <v>64.16</v>
      </c>
      <c r="E22" s="8">
        <v>19</v>
      </c>
    </row>
    <row r="23" s="3" customFormat="1" ht="18.75" spans="1:5">
      <c r="A23" s="8" t="str">
        <f t="shared" si="0"/>
        <v>250001</v>
      </c>
      <c r="B23" s="8" t="str">
        <f>"2561401010715"</f>
        <v>2561401010715</v>
      </c>
      <c r="C23" s="8" t="s">
        <v>7</v>
      </c>
      <c r="D23" s="9">
        <v>63.92</v>
      </c>
      <c r="E23" s="8">
        <v>20</v>
      </c>
    </row>
    <row r="24" s="3" customFormat="1" ht="18.75" spans="1:5">
      <c r="A24" s="8" t="str">
        <f t="shared" si="0"/>
        <v>250001</v>
      </c>
      <c r="B24" s="8" t="str">
        <f>"2561401010503"</f>
        <v>2561401010503</v>
      </c>
      <c r="C24" s="8" t="s">
        <v>7</v>
      </c>
      <c r="D24" s="9">
        <v>63.88</v>
      </c>
      <c r="E24" s="8">
        <v>21</v>
      </c>
    </row>
    <row r="25" s="3" customFormat="1" ht="18.75" spans="1:5">
      <c r="A25" s="8" t="str">
        <f t="shared" si="0"/>
        <v>250001</v>
      </c>
      <c r="B25" s="8" t="str">
        <f>"2561401010829"</f>
        <v>2561401010829</v>
      </c>
      <c r="C25" s="8" t="s">
        <v>7</v>
      </c>
      <c r="D25" s="9">
        <v>63.77</v>
      </c>
      <c r="E25" s="8">
        <v>22</v>
      </c>
    </row>
    <row r="26" s="3" customFormat="1" ht="18.75" spans="1:5">
      <c r="A26" s="8" t="str">
        <f t="shared" si="0"/>
        <v>250001</v>
      </c>
      <c r="B26" s="8" t="str">
        <f>"2561401010623"</f>
        <v>2561401010623</v>
      </c>
      <c r="C26" s="8" t="s">
        <v>7</v>
      </c>
      <c r="D26" s="9">
        <v>63.69</v>
      </c>
      <c r="E26" s="8">
        <v>23</v>
      </c>
    </row>
    <row r="27" s="3" customFormat="1" ht="18.75" spans="1:5">
      <c r="A27" s="8" t="str">
        <f t="shared" si="0"/>
        <v>250001</v>
      </c>
      <c r="B27" s="8" t="str">
        <f>"2561401010219"</f>
        <v>2561401010219</v>
      </c>
      <c r="C27" s="8" t="s">
        <v>7</v>
      </c>
      <c r="D27" s="9">
        <v>63.66</v>
      </c>
      <c r="E27" s="8">
        <v>24</v>
      </c>
    </row>
    <row r="28" s="3" customFormat="1" ht="18.75" spans="1:5">
      <c r="A28" s="8" t="str">
        <f t="shared" si="0"/>
        <v>250001</v>
      </c>
      <c r="B28" s="8" t="str">
        <f>"2561401010825"</f>
        <v>2561401010825</v>
      </c>
      <c r="C28" s="8" t="s">
        <v>7</v>
      </c>
      <c r="D28" s="9">
        <v>63.46</v>
      </c>
      <c r="E28" s="8">
        <v>25</v>
      </c>
    </row>
    <row r="29" s="3" customFormat="1" ht="18.75" spans="1:5">
      <c r="A29" s="8" t="str">
        <f t="shared" si="0"/>
        <v>250001</v>
      </c>
      <c r="B29" s="8" t="str">
        <f>"2561401010222"</f>
        <v>2561401010222</v>
      </c>
      <c r="C29" s="8" t="s">
        <v>7</v>
      </c>
      <c r="D29" s="9">
        <v>63.32</v>
      </c>
      <c r="E29" s="8">
        <v>26</v>
      </c>
    </row>
    <row r="30" s="3" customFormat="1" ht="18.75" spans="1:5">
      <c r="A30" s="8" t="str">
        <f t="shared" si="0"/>
        <v>250001</v>
      </c>
      <c r="B30" s="8" t="str">
        <f>"2561401010510"</f>
        <v>2561401010510</v>
      </c>
      <c r="C30" s="8" t="s">
        <v>7</v>
      </c>
      <c r="D30" s="9">
        <v>62.98</v>
      </c>
      <c r="E30" s="8">
        <v>27</v>
      </c>
    </row>
    <row r="31" s="3" customFormat="1" ht="18.75" spans="1:5">
      <c r="A31" s="8" t="str">
        <f t="shared" si="0"/>
        <v>250001</v>
      </c>
      <c r="B31" s="8" t="str">
        <f>"2561401010521"</f>
        <v>2561401010521</v>
      </c>
      <c r="C31" s="8" t="s">
        <v>7</v>
      </c>
      <c r="D31" s="9">
        <v>62.8</v>
      </c>
      <c r="E31" s="8">
        <v>28</v>
      </c>
    </row>
    <row r="32" s="3" customFormat="1" ht="18.75" spans="1:5">
      <c r="A32" s="8" t="str">
        <f t="shared" si="0"/>
        <v>250001</v>
      </c>
      <c r="B32" s="8" t="str">
        <f>"2561401010417"</f>
        <v>2561401010417</v>
      </c>
      <c r="C32" s="8" t="s">
        <v>7</v>
      </c>
      <c r="D32" s="9">
        <v>62.74</v>
      </c>
      <c r="E32" s="8">
        <v>29</v>
      </c>
    </row>
    <row r="33" s="3" customFormat="1" ht="18.75" spans="1:5">
      <c r="A33" s="8" t="str">
        <f t="shared" si="0"/>
        <v>250001</v>
      </c>
      <c r="B33" s="8" t="str">
        <f>"2561401010423"</f>
        <v>2561401010423</v>
      </c>
      <c r="C33" s="8" t="s">
        <v>7</v>
      </c>
      <c r="D33" s="9">
        <v>61.98</v>
      </c>
      <c r="E33" s="8">
        <v>30</v>
      </c>
    </row>
    <row r="34" s="3" customFormat="1" ht="18.75" spans="1:5">
      <c r="A34" s="8" t="str">
        <f t="shared" si="0"/>
        <v>250001</v>
      </c>
      <c r="B34" s="8" t="str">
        <f>"2561401011012"</f>
        <v>2561401011012</v>
      </c>
      <c r="C34" s="8" t="s">
        <v>7</v>
      </c>
      <c r="D34" s="9">
        <v>61.67</v>
      </c>
      <c r="E34" s="8">
        <v>31</v>
      </c>
    </row>
    <row r="35" s="3" customFormat="1" ht="18.75" spans="1:5">
      <c r="A35" s="8" t="str">
        <f t="shared" si="0"/>
        <v>250001</v>
      </c>
      <c r="B35" s="8" t="str">
        <f>"2561401010221"</f>
        <v>2561401010221</v>
      </c>
      <c r="C35" s="8" t="s">
        <v>7</v>
      </c>
      <c r="D35" s="9">
        <v>61.57</v>
      </c>
      <c r="E35" s="8">
        <v>32</v>
      </c>
    </row>
    <row r="36" s="3" customFormat="1" ht="18.75" spans="1:5">
      <c r="A36" s="8" t="str">
        <f t="shared" si="0"/>
        <v>250001</v>
      </c>
      <c r="B36" s="8" t="str">
        <f>"2561401010721"</f>
        <v>2561401010721</v>
      </c>
      <c r="C36" s="8" t="s">
        <v>7</v>
      </c>
      <c r="D36" s="9">
        <v>61.29</v>
      </c>
      <c r="E36" s="8">
        <v>33</v>
      </c>
    </row>
    <row r="37" s="3" customFormat="1" ht="18.75" spans="1:5">
      <c r="A37" s="8" t="str">
        <f t="shared" si="0"/>
        <v>250001</v>
      </c>
      <c r="B37" s="8" t="str">
        <f>"2561401010509"</f>
        <v>2561401010509</v>
      </c>
      <c r="C37" s="8" t="s">
        <v>7</v>
      </c>
      <c r="D37" s="9">
        <v>61.24</v>
      </c>
      <c r="E37" s="8">
        <v>34</v>
      </c>
    </row>
    <row r="38" s="3" customFormat="1" ht="18.75" spans="1:5">
      <c r="A38" s="8" t="str">
        <f t="shared" si="0"/>
        <v>250001</v>
      </c>
      <c r="B38" s="8" t="str">
        <f>"2561401010918"</f>
        <v>2561401010918</v>
      </c>
      <c r="C38" s="8" t="s">
        <v>7</v>
      </c>
      <c r="D38" s="9">
        <v>61.07</v>
      </c>
      <c r="E38" s="8">
        <v>35</v>
      </c>
    </row>
    <row r="39" s="3" customFormat="1" ht="18.75" spans="1:5">
      <c r="A39" s="8" t="str">
        <f t="shared" si="0"/>
        <v>250001</v>
      </c>
      <c r="B39" s="8" t="str">
        <f>"2561401011014"</f>
        <v>2561401011014</v>
      </c>
      <c r="C39" s="8" t="s">
        <v>7</v>
      </c>
      <c r="D39" s="9">
        <v>60.72</v>
      </c>
      <c r="E39" s="8">
        <v>36</v>
      </c>
    </row>
    <row r="40" s="3" customFormat="1" ht="18.75" spans="1:5">
      <c r="A40" s="8" t="str">
        <f t="shared" si="0"/>
        <v>250001</v>
      </c>
      <c r="B40" s="8" t="str">
        <f>"2561401011007"</f>
        <v>2561401011007</v>
      </c>
      <c r="C40" s="8" t="s">
        <v>7</v>
      </c>
      <c r="D40" s="9">
        <v>60.62</v>
      </c>
      <c r="E40" s="8">
        <v>37</v>
      </c>
    </row>
    <row r="41" s="3" customFormat="1" ht="18.75" spans="1:5">
      <c r="A41" s="8" t="str">
        <f t="shared" si="0"/>
        <v>250001</v>
      </c>
      <c r="B41" s="8" t="str">
        <f>"2561401010411"</f>
        <v>2561401010411</v>
      </c>
      <c r="C41" s="8" t="s">
        <v>7</v>
      </c>
      <c r="D41" s="9">
        <v>60.61</v>
      </c>
      <c r="E41" s="8">
        <v>38</v>
      </c>
    </row>
    <row r="42" s="3" customFormat="1" ht="18.75" spans="1:5">
      <c r="A42" s="8" t="str">
        <f t="shared" si="0"/>
        <v>250001</v>
      </c>
      <c r="B42" s="8" t="str">
        <f>"2561401010508"</f>
        <v>2561401010508</v>
      </c>
      <c r="C42" s="8" t="s">
        <v>7</v>
      </c>
      <c r="D42" s="9">
        <v>60.56</v>
      </c>
      <c r="E42" s="8">
        <v>39</v>
      </c>
    </row>
    <row r="43" s="3" customFormat="1" ht="18.75" spans="1:5">
      <c r="A43" s="8" t="str">
        <f t="shared" si="0"/>
        <v>250001</v>
      </c>
      <c r="B43" s="8" t="str">
        <f>"2561401011013"</f>
        <v>2561401011013</v>
      </c>
      <c r="C43" s="8" t="s">
        <v>7</v>
      </c>
      <c r="D43" s="9">
        <v>60.55</v>
      </c>
      <c r="E43" s="8">
        <v>40</v>
      </c>
    </row>
    <row r="44" s="3" customFormat="1" ht="18.75" spans="1:5">
      <c r="A44" s="8" t="str">
        <f t="shared" si="0"/>
        <v>250001</v>
      </c>
      <c r="B44" s="8" t="str">
        <f>"2561401011003"</f>
        <v>2561401011003</v>
      </c>
      <c r="C44" s="8" t="s">
        <v>7</v>
      </c>
      <c r="D44" s="9">
        <v>60.5</v>
      </c>
      <c r="E44" s="8">
        <v>41</v>
      </c>
    </row>
    <row r="45" s="3" customFormat="1" ht="18.75" spans="1:5">
      <c r="A45" s="8" t="str">
        <f t="shared" si="0"/>
        <v>250001</v>
      </c>
      <c r="B45" s="8" t="str">
        <f>"2561401011006"</f>
        <v>2561401011006</v>
      </c>
      <c r="C45" s="8" t="s">
        <v>7</v>
      </c>
      <c r="D45" s="9">
        <v>60.33</v>
      </c>
      <c r="E45" s="8">
        <v>42</v>
      </c>
    </row>
    <row r="46" s="3" customFormat="1" ht="18.75" spans="1:5">
      <c r="A46" s="8" t="str">
        <f t="shared" si="0"/>
        <v>250001</v>
      </c>
      <c r="B46" s="8" t="str">
        <f>"2561401010813"</f>
        <v>2561401010813</v>
      </c>
      <c r="C46" s="8" t="s">
        <v>7</v>
      </c>
      <c r="D46" s="9">
        <v>60.29</v>
      </c>
      <c r="E46" s="8">
        <v>43</v>
      </c>
    </row>
    <row r="47" s="3" customFormat="1" ht="18.75" spans="1:5">
      <c r="A47" s="8" t="str">
        <f t="shared" si="0"/>
        <v>250001</v>
      </c>
      <c r="B47" s="8" t="str">
        <f>"2561401010327"</f>
        <v>2561401010327</v>
      </c>
      <c r="C47" s="8" t="s">
        <v>7</v>
      </c>
      <c r="D47" s="9">
        <v>60.22</v>
      </c>
      <c r="E47" s="8">
        <v>44</v>
      </c>
    </row>
    <row r="48" s="3" customFormat="1" ht="18.75" spans="1:5">
      <c r="A48" s="8" t="str">
        <f t="shared" si="0"/>
        <v>250001</v>
      </c>
      <c r="B48" s="8" t="str">
        <f>"2561401010116"</f>
        <v>2561401010116</v>
      </c>
      <c r="C48" s="8" t="s">
        <v>7</v>
      </c>
      <c r="D48" s="9">
        <v>60.12</v>
      </c>
      <c r="E48" s="8">
        <v>45</v>
      </c>
    </row>
    <row r="49" s="3" customFormat="1" ht="18.75" spans="1:5">
      <c r="A49" s="8" t="str">
        <f t="shared" si="0"/>
        <v>250001</v>
      </c>
      <c r="B49" s="8" t="str">
        <f>"2561401010909"</f>
        <v>2561401010909</v>
      </c>
      <c r="C49" s="8" t="s">
        <v>7</v>
      </c>
      <c r="D49" s="9">
        <v>59.38</v>
      </c>
      <c r="E49" s="8">
        <v>46</v>
      </c>
    </row>
    <row r="50" s="3" customFormat="1" ht="18.75" spans="1:5">
      <c r="A50" s="8" t="str">
        <f t="shared" si="0"/>
        <v>250001</v>
      </c>
      <c r="B50" s="8" t="str">
        <f>"2561401010624"</f>
        <v>2561401010624</v>
      </c>
      <c r="C50" s="8" t="s">
        <v>7</v>
      </c>
      <c r="D50" s="9">
        <v>59.31</v>
      </c>
      <c r="E50" s="8">
        <v>47</v>
      </c>
    </row>
    <row r="51" s="3" customFormat="1" ht="18.75" spans="1:5">
      <c r="A51" s="8" t="str">
        <f t="shared" si="0"/>
        <v>250001</v>
      </c>
      <c r="B51" s="8" t="str">
        <f>"2561401010523"</f>
        <v>2561401010523</v>
      </c>
      <c r="C51" s="8" t="s">
        <v>7</v>
      </c>
      <c r="D51" s="9">
        <v>59.23</v>
      </c>
      <c r="E51" s="8">
        <v>48</v>
      </c>
    </row>
    <row r="52" s="3" customFormat="1" ht="18.75" spans="1:5">
      <c r="A52" s="8" t="str">
        <f t="shared" si="0"/>
        <v>250001</v>
      </c>
      <c r="B52" s="8" t="str">
        <f>"2561401010619"</f>
        <v>2561401010619</v>
      </c>
      <c r="C52" s="8" t="s">
        <v>7</v>
      </c>
      <c r="D52" s="9">
        <v>58.94</v>
      </c>
      <c r="E52" s="8">
        <v>49</v>
      </c>
    </row>
    <row r="53" s="3" customFormat="1" ht="18.75" spans="1:5">
      <c r="A53" s="8" t="str">
        <f t="shared" si="0"/>
        <v>250001</v>
      </c>
      <c r="B53" s="8" t="str">
        <f>"2561401010329"</f>
        <v>2561401010329</v>
      </c>
      <c r="C53" s="8" t="s">
        <v>7</v>
      </c>
      <c r="D53" s="9">
        <v>58.8</v>
      </c>
      <c r="E53" s="8">
        <v>50</v>
      </c>
    </row>
    <row r="54" s="3" customFormat="1" ht="18.75" spans="1:5">
      <c r="A54" s="8" t="str">
        <f t="shared" si="0"/>
        <v>250001</v>
      </c>
      <c r="B54" s="8" t="str">
        <f>"2561401010518"</f>
        <v>2561401010518</v>
      </c>
      <c r="C54" s="8" t="s">
        <v>7</v>
      </c>
      <c r="D54" s="9">
        <v>58.79</v>
      </c>
      <c r="E54" s="8">
        <v>51</v>
      </c>
    </row>
    <row r="55" s="3" customFormat="1" ht="18.75" spans="1:5">
      <c r="A55" s="8" t="str">
        <f t="shared" si="0"/>
        <v>250001</v>
      </c>
      <c r="B55" s="8" t="str">
        <f>"2561401010405"</f>
        <v>2561401010405</v>
      </c>
      <c r="C55" s="8" t="s">
        <v>7</v>
      </c>
      <c r="D55" s="9">
        <v>58.63</v>
      </c>
      <c r="E55" s="8">
        <v>52</v>
      </c>
    </row>
    <row r="56" s="3" customFormat="1" ht="18.75" spans="1:5">
      <c r="A56" s="8" t="str">
        <f t="shared" si="0"/>
        <v>250001</v>
      </c>
      <c r="B56" s="8" t="str">
        <f>"2561401010908"</f>
        <v>2561401010908</v>
      </c>
      <c r="C56" s="8" t="s">
        <v>7</v>
      </c>
      <c r="D56" s="9">
        <v>58.58</v>
      </c>
      <c r="E56" s="8">
        <v>53</v>
      </c>
    </row>
    <row r="57" s="3" customFormat="1" ht="18.75" spans="1:5">
      <c r="A57" s="8" t="str">
        <f t="shared" si="0"/>
        <v>250001</v>
      </c>
      <c r="B57" s="8" t="str">
        <f>"2561401010201"</f>
        <v>2561401010201</v>
      </c>
      <c r="C57" s="8" t="s">
        <v>7</v>
      </c>
      <c r="D57" s="9">
        <v>58.47</v>
      </c>
      <c r="E57" s="8">
        <v>54</v>
      </c>
    </row>
    <row r="58" s="3" customFormat="1" ht="18.75" spans="1:5">
      <c r="A58" s="8" t="str">
        <f t="shared" si="0"/>
        <v>250001</v>
      </c>
      <c r="B58" s="8" t="str">
        <f>"2561401010802"</f>
        <v>2561401010802</v>
      </c>
      <c r="C58" s="8" t="s">
        <v>7</v>
      </c>
      <c r="D58" s="9">
        <v>58.46</v>
      </c>
      <c r="E58" s="8">
        <v>55</v>
      </c>
    </row>
    <row r="59" s="3" customFormat="1" ht="18.75" spans="1:5">
      <c r="A59" s="8" t="str">
        <f t="shared" si="0"/>
        <v>250001</v>
      </c>
      <c r="B59" s="8" t="str">
        <f>"2561401010617"</f>
        <v>2561401010617</v>
      </c>
      <c r="C59" s="8" t="s">
        <v>7</v>
      </c>
      <c r="D59" s="9">
        <v>58.36</v>
      </c>
      <c r="E59" s="8">
        <v>56</v>
      </c>
    </row>
    <row r="60" s="3" customFormat="1" ht="18.75" spans="1:5">
      <c r="A60" s="8" t="str">
        <f t="shared" si="0"/>
        <v>250001</v>
      </c>
      <c r="B60" s="8" t="str">
        <f>"2561401010321"</f>
        <v>2561401010321</v>
      </c>
      <c r="C60" s="8" t="s">
        <v>7</v>
      </c>
      <c r="D60" s="9">
        <v>58.28</v>
      </c>
      <c r="E60" s="8">
        <v>57</v>
      </c>
    </row>
    <row r="61" s="3" customFormat="1" ht="18.75" spans="1:5">
      <c r="A61" s="8" t="str">
        <f t="shared" si="0"/>
        <v>250001</v>
      </c>
      <c r="B61" s="8" t="str">
        <f>"2561401010507"</f>
        <v>2561401010507</v>
      </c>
      <c r="C61" s="8" t="s">
        <v>7</v>
      </c>
      <c r="D61" s="9">
        <v>58.28</v>
      </c>
      <c r="E61" s="8">
        <v>57</v>
      </c>
    </row>
    <row r="62" s="3" customFormat="1" ht="18.75" spans="1:5">
      <c r="A62" s="8" t="str">
        <f t="shared" si="0"/>
        <v>250001</v>
      </c>
      <c r="B62" s="8" t="str">
        <f>"2561401010310"</f>
        <v>2561401010310</v>
      </c>
      <c r="C62" s="8" t="s">
        <v>7</v>
      </c>
      <c r="D62" s="9">
        <v>58.08</v>
      </c>
      <c r="E62" s="8">
        <v>59</v>
      </c>
    </row>
    <row r="63" s="3" customFormat="1" ht="18.75" spans="1:5">
      <c r="A63" s="8" t="str">
        <f t="shared" si="0"/>
        <v>250001</v>
      </c>
      <c r="B63" s="8" t="str">
        <f>"2561401010122"</f>
        <v>2561401010122</v>
      </c>
      <c r="C63" s="8" t="s">
        <v>7</v>
      </c>
      <c r="D63" s="9">
        <v>58.04</v>
      </c>
      <c r="E63" s="8">
        <v>60</v>
      </c>
    </row>
    <row r="64" s="3" customFormat="1" ht="18.75" spans="1:5">
      <c r="A64" s="8" t="str">
        <f t="shared" si="0"/>
        <v>250001</v>
      </c>
      <c r="B64" s="8" t="str">
        <f>"2561401010907"</f>
        <v>2561401010907</v>
      </c>
      <c r="C64" s="8" t="s">
        <v>7</v>
      </c>
      <c r="D64" s="9">
        <v>57.81</v>
      </c>
      <c r="E64" s="8">
        <v>61</v>
      </c>
    </row>
    <row r="65" s="3" customFormat="1" ht="18.75" spans="1:5">
      <c r="A65" s="8" t="str">
        <f t="shared" si="0"/>
        <v>250001</v>
      </c>
      <c r="B65" s="8" t="str">
        <f>"2561401010913"</f>
        <v>2561401010913</v>
      </c>
      <c r="C65" s="8" t="s">
        <v>7</v>
      </c>
      <c r="D65" s="9">
        <v>57.51</v>
      </c>
      <c r="E65" s="8">
        <v>62</v>
      </c>
    </row>
    <row r="66" s="3" customFormat="1" ht="18.75" spans="1:5">
      <c r="A66" s="8" t="str">
        <f t="shared" si="0"/>
        <v>250001</v>
      </c>
      <c r="B66" s="8" t="str">
        <f>"2561401010615"</f>
        <v>2561401010615</v>
      </c>
      <c r="C66" s="8" t="s">
        <v>7</v>
      </c>
      <c r="D66" s="9">
        <v>57.42</v>
      </c>
      <c r="E66" s="8">
        <v>63</v>
      </c>
    </row>
    <row r="67" s="3" customFormat="1" ht="18.75" spans="1:5">
      <c r="A67" s="8" t="str">
        <f t="shared" si="0"/>
        <v>250001</v>
      </c>
      <c r="B67" s="8" t="str">
        <f>"2561401010803"</f>
        <v>2561401010803</v>
      </c>
      <c r="C67" s="8" t="s">
        <v>7</v>
      </c>
      <c r="D67" s="9">
        <v>57.4</v>
      </c>
      <c r="E67" s="8">
        <v>64</v>
      </c>
    </row>
    <row r="68" s="3" customFormat="1" ht="18.75" spans="1:5">
      <c r="A68" s="8" t="str">
        <f t="shared" ref="A68:A131" si="1">"250001"</f>
        <v>250001</v>
      </c>
      <c r="B68" s="8" t="str">
        <f>"2561401010214"</f>
        <v>2561401010214</v>
      </c>
      <c r="C68" s="8" t="s">
        <v>7</v>
      </c>
      <c r="D68" s="9">
        <v>57.36</v>
      </c>
      <c r="E68" s="8">
        <v>65</v>
      </c>
    </row>
    <row r="69" s="3" customFormat="1" ht="18.75" spans="1:5">
      <c r="A69" s="8" t="str">
        <f t="shared" si="1"/>
        <v>250001</v>
      </c>
      <c r="B69" s="8" t="str">
        <f>"2561401010815"</f>
        <v>2561401010815</v>
      </c>
      <c r="C69" s="8" t="s">
        <v>7</v>
      </c>
      <c r="D69" s="9">
        <v>57.34</v>
      </c>
      <c r="E69" s="8">
        <v>66</v>
      </c>
    </row>
    <row r="70" s="3" customFormat="1" ht="18.75" spans="1:5">
      <c r="A70" s="8" t="str">
        <f t="shared" si="1"/>
        <v>250001</v>
      </c>
      <c r="B70" s="8" t="str">
        <f>"2561401010102"</f>
        <v>2561401010102</v>
      </c>
      <c r="C70" s="8" t="s">
        <v>7</v>
      </c>
      <c r="D70" s="9">
        <v>57.25</v>
      </c>
      <c r="E70" s="8">
        <v>67</v>
      </c>
    </row>
    <row r="71" s="3" customFormat="1" ht="18.75" spans="1:5">
      <c r="A71" s="8" t="str">
        <f t="shared" si="1"/>
        <v>250001</v>
      </c>
      <c r="B71" s="8" t="str">
        <f>"2561401010719"</f>
        <v>2561401010719</v>
      </c>
      <c r="C71" s="8" t="s">
        <v>7</v>
      </c>
      <c r="D71" s="9">
        <v>57.2</v>
      </c>
      <c r="E71" s="8">
        <v>68</v>
      </c>
    </row>
    <row r="72" s="3" customFormat="1" ht="18.75" spans="1:5">
      <c r="A72" s="8" t="str">
        <f t="shared" si="1"/>
        <v>250001</v>
      </c>
      <c r="B72" s="8" t="str">
        <f>"2561401010304"</f>
        <v>2561401010304</v>
      </c>
      <c r="C72" s="8" t="s">
        <v>7</v>
      </c>
      <c r="D72" s="9">
        <v>57.15</v>
      </c>
      <c r="E72" s="8">
        <v>69</v>
      </c>
    </row>
    <row r="73" s="3" customFormat="1" ht="18.75" spans="1:5">
      <c r="A73" s="8" t="str">
        <f t="shared" si="1"/>
        <v>250001</v>
      </c>
      <c r="B73" s="8" t="str">
        <f>"2561401010616"</f>
        <v>2561401010616</v>
      </c>
      <c r="C73" s="8" t="s">
        <v>7</v>
      </c>
      <c r="D73" s="9">
        <v>57.15</v>
      </c>
      <c r="E73" s="8">
        <v>69</v>
      </c>
    </row>
    <row r="74" s="3" customFormat="1" ht="18.75" spans="1:5">
      <c r="A74" s="8" t="str">
        <f t="shared" si="1"/>
        <v>250001</v>
      </c>
      <c r="B74" s="8" t="str">
        <f>"2561401010519"</f>
        <v>2561401010519</v>
      </c>
      <c r="C74" s="8" t="s">
        <v>7</v>
      </c>
      <c r="D74" s="9">
        <v>57.01</v>
      </c>
      <c r="E74" s="8">
        <v>71</v>
      </c>
    </row>
    <row r="75" s="3" customFormat="1" ht="18.75" spans="1:5">
      <c r="A75" s="8" t="str">
        <f t="shared" si="1"/>
        <v>250001</v>
      </c>
      <c r="B75" s="8" t="str">
        <f>"2561401010819"</f>
        <v>2561401010819</v>
      </c>
      <c r="C75" s="8" t="s">
        <v>7</v>
      </c>
      <c r="D75" s="9">
        <v>56.88</v>
      </c>
      <c r="E75" s="8">
        <v>72</v>
      </c>
    </row>
    <row r="76" s="3" customFormat="1" ht="18.75" spans="1:5">
      <c r="A76" s="8" t="str">
        <f t="shared" si="1"/>
        <v>250001</v>
      </c>
      <c r="B76" s="8" t="str">
        <f>"2561401010608"</f>
        <v>2561401010608</v>
      </c>
      <c r="C76" s="8" t="s">
        <v>7</v>
      </c>
      <c r="D76" s="9">
        <v>56.65</v>
      </c>
      <c r="E76" s="8">
        <v>73</v>
      </c>
    </row>
    <row r="77" s="3" customFormat="1" ht="18.75" spans="1:5">
      <c r="A77" s="8" t="str">
        <f t="shared" si="1"/>
        <v>250001</v>
      </c>
      <c r="B77" s="8" t="str">
        <f>"2561401010322"</f>
        <v>2561401010322</v>
      </c>
      <c r="C77" s="8" t="s">
        <v>7</v>
      </c>
      <c r="D77" s="9">
        <v>56.63</v>
      </c>
      <c r="E77" s="8">
        <v>74</v>
      </c>
    </row>
    <row r="78" s="3" customFormat="1" ht="18.75" spans="1:5">
      <c r="A78" s="8" t="str">
        <f t="shared" si="1"/>
        <v>250001</v>
      </c>
      <c r="B78" s="8" t="str">
        <f>"2561401010723"</f>
        <v>2561401010723</v>
      </c>
      <c r="C78" s="8" t="s">
        <v>7</v>
      </c>
      <c r="D78" s="9">
        <v>56.4</v>
      </c>
      <c r="E78" s="8">
        <v>75</v>
      </c>
    </row>
    <row r="79" s="3" customFormat="1" ht="18.75" spans="1:5">
      <c r="A79" s="8" t="str">
        <f t="shared" si="1"/>
        <v>250001</v>
      </c>
      <c r="B79" s="8" t="str">
        <f>"2561401010905"</f>
        <v>2561401010905</v>
      </c>
      <c r="C79" s="8" t="s">
        <v>7</v>
      </c>
      <c r="D79" s="9">
        <v>56.35</v>
      </c>
      <c r="E79" s="8">
        <v>76</v>
      </c>
    </row>
    <row r="80" s="3" customFormat="1" ht="18.75" spans="1:5">
      <c r="A80" s="8" t="str">
        <f t="shared" si="1"/>
        <v>250001</v>
      </c>
      <c r="B80" s="8" t="str">
        <f>"2561401010911"</f>
        <v>2561401010911</v>
      </c>
      <c r="C80" s="8" t="s">
        <v>7</v>
      </c>
      <c r="D80" s="9">
        <v>56.32</v>
      </c>
      <c r="E80" s="8">
        <v>77</v>
      </c>
    </row>
    <row r="81" s="3" customFormat="1" ht="18.75" spans="1:5">
      <c r="A81" s="8" t="str">
        <f t="shared" si="1"/>
        <v>250001</v>
      </c>
      <c r="B81" s="8" t="str">
        <f>"2561401010818"</f>
        <v>2561401010818</v>
      </c>
      <c r="C81" s="8" t="s">
        <v>7</v>
      </c>
      <c r="D81" s="9">
        <v>56.24</v>
      </c>
      <c r="E81" s="8">
        <v>78</v>
      </c>
    </row>
    <row r="82" s="3" customFormat="1" ht="18.75" spans="1:5">
      <c r="A82" s="8" t="str">
        <f t="shared" si="1"/>
        <v>250001</v>
      </c>
      <c r="B82" s="8" t="str">
        <f>"2561401010702"</f>
        <v>2561401010702</v>
      </c>
      <c r="C82" s="8" t="s">
        <v>7</v>
      </c>
      <c r="D82" s="9">
        <v>56.06</v>
      </c>
      <c r="E82" s="8">
        <v>79</v>
      </c>
    </row>
    <row r="83" s="3" customFormat="1" ht="18.75" spans="1:5">
      <c r="A83" s="8" t="str">
        <f t="shared" si="1"/>
        <v>250001</v>
      </c>
      <c r="B83" s="8" t="str">
        <f>"2561401010730"</f>
        <v>2561401010730</v>
      </c>
      <c r="C83" s="8" t="s">
        <v>7</v>
      </c>
      <c r="D83" s="9">
        <v>56.05</v>
      </c>
      <c r="E83" s="8">
        <v>80</v>
      </c>
    </row>
    <row r="84" s="3" customFormat="1" ht="18.75" spans="1:5">
      <c r="A84" s="8" t="str">
        <f t="shared" si="1"/>
        <v>250001</v>
      </c>
      <c r="B84" s="8" t="str">
        <f>"2561401010402"</f>
        <v>2561401010402</v>
      </c>
      <c r="C84" s="8" t="s">
        <v>7</v>
      </c>
      <c r="D84" s="9">
        <v>55.93</v>
      </c>
      <c r="E84" s="8">
        <v>81</v>
      </c>
    </row>
    <row r="85" s="3" customFormat="1" ht="18.75" spans="1:5">
      <c r="A85" s="8" t="str">
        <f t="shared" si="1"/>
        <v>250001</v>
      </c>
      <c r="B85" s="8" t="str">
        <f>"2561401010602"</f>
        <v>2561401010602</v>
      </c>
      <c r="C85" s="8" t="s">
        <v>7</v>
      </c>
      <c r="D85" s="9">
        <v>55.84</v>
      </c>
      <c r="E85" s="8">
        <v>82</v>
      </c>
    </row>
    <row r="86" s="3" customFormat="1" ht="18.75" spans="1:5">
      <c r="A86" s="8" t="str">
        <f t="shared" si="1"/>
        <v>250001</v>
      </c>
      <c r="B86" s="8" t="str">
        <f>"2561401010124"</f>
        <v>2561401010124</v>
      </c>
      <c r="C86" s="8" t="s">
        <v>7</v>
      </c>
      <c r="D86" s="9">
        <v>55.5</v>
      </c>
      <c r="E86" s="8">
        <v>83</v>
      </c>
    </row>
    <row r="87" s="3" customFormat="1" ht="18.75" spans="1:5">
      <c r="A87" s="8" t="str">
        <f t="shared" si="1"/>
        <v>250001</v>
      </c>
      <c r="B87" s="8" t="str">
        <f>"2561401010319"</f>
        <v>2561401010319</v>
      </c>
      <c r="C87" s="8" t="s">
        <v>7</v>
      </c>
      <c r="D87" s="9">
        <v>55.5</v>
      </c>
      <c r="E87" s="8">
        <v>83</v>
      </c>
    </row>
    <row r="88" s="3" customFormat="1" ht="18.75" spans="1:5">
      <c r="A88" s="8" t="str">
        <f t="shared" si="1"/>
        <v>250001</v>
      </c>
      <c r="B88" s="8" t="str">
        <f>"2561401010604"</f>
        <v>2561401010604</v>
      </c>
      <c r="C88" s="8" t="s">
        <v>7</v>
      </c>
      <c r="D88" s="9">
        <v>55.49</v>
      </c>
      <c r="E88" s="8">
        <v>85</v>
      </c>
    </row>
    <row r="89" s="3" customFormat="1" ht="18.75" spans="1:5">
      <c r="A89" s="8" t="str">
        <f t="shared" si="1"/>
        <v>250001</v>
      </c>
      <c r="B89" s="8" t="str">
        <f>"2561401010127"</f>
        <v>2561401010127</v>
      </c>
      <c r="C89" s="8" t="s">
        <v>7</v>
      </c>
      <c r="D89" s="9">
        <v>55.44</v>
      </c>
      <c r="E89" s="8">
        <v>86</v>
      </c>
    </row>
    <row r="90" s="3" customFormat="1" ht="18.75" spans="1:5">
      <c r="A90" s="8" t="str">
        <f t="shared" si="1"/>
        <v>250001</v>
      </c>
      <c r="B90" s="8" t="str">
        <f>"2561401010202"</f>
        <v>2561401010202</v>
      </c>
      <c r="C90" s="8" t="s">
        <v>7</v>
      </c>
      <c r="D90" s="9">
        <v>55.41</v>
      </c>
      <c r="E90" s="8">
        <v>87</v>
      </c>
    </row>
    <row r="91" s="3" customFormat="1" ht="18.75" spans="1:5">
      <c r="A91" s="8" t="str">
        <f t="shared" si="1"/>
        <v>250001</v>
      </c>
      <c r="B91" s="8" t="str">
        <f>"2561401010515"</f>
        <v>2561401010515</v>
      </c>
      <c r="C91" s="8" t="s">
        <v>7</v>
      </c>
      <c r="D91" s="9">
        <v>55.41</v>
      </c>
      <c r="E91" s="8">
        <v>87</v>
      </c>
    </row>
    <row r="92" s="3" customFormat="1" ht="18.75" spans="1:5">
      <c r="A92" s="8" t="str">
        <f t="shared" si="1"/>
        <v>250001</v>
      </c>
      <c r="B92" s="8" t="str">
        <f>"2561401011005"</f>
        <v>2561401011005</v>
      </c>
      <c r="C92" s="8" t="s">
        <v>7</v>
      </c>
      <c r="D92" s="9">
        <v>55.17</v>
      </c>
      <c r="E92" s="8">
        <v>89</v>
      </c>
    </row>
    <row r="93" s="3" customFormat="1" ht="18.75" spans="1:5">
      <c r="A93" s="8" t="str">
        <f t="shared" si="1"/>
        <v>250001</v>
      </c>
      <c r="B93" s="8" t="str">
        <f>"2561401010506"</f>
        <v>2561401010506</v>
      </c>
      <c r="C93" s="8" t="s">
        <v>7</v>
      </c>
      <c r="D93" s="9">
        <v>55.1</v>
      </c>
      <c r="E93" s="8">
        <v>90</v>
      </c>
    </row>
    <row r="94" s="3" customFormat="1" ht="18.75" spans="1:5">
      <c r="A94" s="8" t="str">
        <f t="shared" si="1"/>
        <v>250001</v>
      </c>
      <c r="B94" s="8" t="str">
        <f>"2561401010421"</f>
        <v>2561401010421</v>
      </c>
      <c r="C94" s="8" t="s">
        <v>7</v>
      </c>
      <c r="D94" s="9">
        <v>55.02</v>
      </c>
      <c r="E94" s="8">
        <v>91</v>
      </c>
    </row>
    <row r="95" s="3" customFormat="1" ht="18.75" spans="1:5">
      <c r="A95" s="8" t="str">
        <f t="shared" si="1"/>
        <v>250001</v>
      </c>
      <c r="B95" s="8" t="str">
        <f>"2561401010914"</f>
        <v>2561401010914</v>
      </c>
      <c r="C95" s="8" t="s">
        <v>7</v>
      </c>
      <c r="D95" s="9">
        <v>54.99</v>
      </c>
      <c r="E95" s="8">
        <v>92</v>
      </c>
    </row>
    <row r="96" s="3" customFormat="1" ht="18.75" spans="1:5">
      <c r="A96" s="8" t="str">
        <f t="shared" si="1"/>
        <v>250001</v>
      </c>
      <c r="B96" s="8" t="str">
        <f>"2561401010227"</f>
        <v>2561401010227</v>
      </c>
      <c r="C96" s="8" t="s">
        <v>7</v>
      </c>
      <c r="D96" s="9">
        <v>54.98</v>
      </c>
      <c r="E96" s="8">
        <v>93</v>
      </c>
    </row>
    <row r="97" s="3" customFormat="1" ht="18.75" spans="1:5">
      <c r="A97" s="8" t="str">
        <f t="shared" si="1"/>
        <v>250001</v>
      </c>
      <c r="B97" s="8" t="str">
        <f>"2561401010125"</f>
        <v>2561401010125</v>
      </c>
      <c r="C97" s="8" t="s">
        <v>7</v>
      </c>
      <c r="D97" s="9">
        <v>54.97</v>
      </c>
      <c r="E97" s="8">
        <v>94</v>
      </c>
    </row>
    <row r="98" s="3" customFormat="1" ht="18.75" spans="1:5">
      <c r="A98" s="8" t="str">
        <f t="shared" si="1"/>
        <v>250001</v>
      </c>
      <c r="B98" s="8" t="str">
        <f>"2561401010112"</f>
        <v>2561401010112</v>
      </c>
      <c r="C98" s="8" t="s">
        <v>7</v>
      </c>
      <c r="D98" s="9">
        <v>54.23</v>
      </c>
      <c r="E98" s="8">
        <v>95</v>
      </c>
    </row>
    <row r="99" s="3" customFormat="1" ht="18.75" spans="1:5">
      <c r="A99" s="8" t="str">
        <f t="shared" si="1"/>
        <v>250001</v>
      </c>
      <c r="B99" s="8" t="str">
        <f>"2561401010218"</f>
        <v>2561401010218</v>
      </c>
      <c r="C99" s="8" t="s">
        <v>7</v>
      </c>
      <c r="D99" s="9">
        <v>54.18</v>
      </c>
      <c r="E99" s="8">
        <v>96</v>
      </c>
    </row>
    <row r="100" s="3" customFormat="1" ht="18.75" spans="1:5">
      <c r="A100" s="8" t="str">
        <f t="shared" si="1"/>
        <v>250001</v>
      </c>
      <c r="B100" s="8" t="str">
        <f>"2561401010522"</f>
        <v>2561401010522</v>
      </c>
      <c r="C100" s="8" t="s">
        <v>7</v>
      </c>
      <c r="D100" s="9">
        <v>54.17</v>
      </c>
      <c r="E100" s="8">
        <v>97</v>
      </c>
    </row>
    <row r="101" s="3" customFormat="1" ht="18.75" spans="1:5">
      <c r="A101" s="8" t="str">
        <f t="shared" si="1"/>
        <v>250001</v>
      </c>
      <c r="B101" s="8" t="str">
        <f>"2561401010806"</f>
        <v>2561401010806</v>
      </c>
      <c r="C101" s="8" t="s">
        <v>7</v>
      </c>
      <c r="D101" s="9">
        <v>54.16</v>
      </c>
      <c r="E101" s="8">
        <v>98</v>
      </c>
    </row>
    <row r="102" s="3" customFormat="1" ht="18.75" spans="1:5">
      <c r="A102" s="8" t="str">
        <f t="shared" si="1"/>
        <v>250001</v>
      </c>
      <c r="B102" s="8" t="str">
        <f>"2561401010422"</f>
        <v>2561401010422</v>
      </c>
      <c r="C102" s="8" t="s">
        <v>7</v>
      </c>
      <c r="D102" s="9">
        <v>53.9</v>
      </c>
      <c r="E102" s="8">
        <v>99</v>
      </c>
    </row>
    <row r="103" s="3" customFormat="1" ht="18.75" spans="1:5">
      <c r="A103" s="8" t="str">
        <f t="shared" si="1"/>
        <v>250001</v>
      </c>
      <c r="B103" s="8" t="str">
        <f>"2561401010922"</f>
        <v>2561401010922</v>
      </c>
      <c r="C103" s="8" t="s">
        <v>7</v>
      </c>
      <c r="D103" s="9">
        <v>53.79</v>
      </c>
      <c r="E103" s="8">
        <v>100</v>
      </c>
    </row>
    <row r="104" s="3" customFormat="1" ht="18.75" spans="1:5">
      <c r="A104" s="8" t="str">
        <f t="shared" si="1"/>
        <v>250001</v>
      </c>
      <c r="B104" s="8" t="str">
        <f>"2561401010203"</f>
        <v>2561401010203</v>
      </c>
      <c r="C104" s="8" t="s">
        <v>7</v>
      </c>
      <c r="D104" s="9">
        <v>53.53</v>
      </c>
      <c r="E104" s="8">
        <v>101</v>
      </c>
    </row>
    <row r="105" s="3" customFormat="1" ht="18.75" spans="1:5">
      <c r="A105" s="8" t="str">
        <f t="shared" si="1"/>
        <v>250001</v>
      </c>
      <c r="B105" s="8" t="str">
        <f>"2561401010108"</f>
        <v>2561401010108</v>
      </c>
      <c r="C105" s="8" t="s">
        <v>7</v>
      </c>
      <c r="D105" s="9">
        <v>53.42</v>
      </c>
      <c r="E105" s="8">
        <v>102</v>
      </c>
    </row>
    <row r="106" s="3" customFormat="1" ht="18.75" spans="1:5">
      <c r="A106" s="8" t="str">
        <f t="shared" si="1"/>
        <v>250001</v>
      </c>
      <c r="B106" s="8" t="str">
        <f>"2561401010415"</f>
        <v>2561401010415</v>
      </c>
      <c r="C106" s="8" t="s">
        <v>7</v>
      </c>
      <c r="D106" s="9">
        <v>53.41</v>
      </c>
      <c r="E106" s="8">
        <v>103</v>
      </c>
    </row>
    <row r="107" s="3" customFormat="1" ht="18.75" spans="1:5">
      <c r="A107" s="8" t="str">
        <f t="shared" si="1"/>
        <v>250001</v>
      </c>
      <c r="B107" s="8" t="str">
        <f>"2561401010330"</f>
        <v>2561401010330</v>
      </c>
      <c r="C107" s="8" t="s">
        <v>7</v>
      </c>
      <c r="D107" s="9">
        <v>53.34</v>
      </c>
      <c r="E107" s="8">
        <v>104</v>
      </c>
    </row>
    <row r="108" s="3" customFormat="1" ht="18.75" spans="1:5">
      <c r="A108" s="8" t="str">
        <f t="shared" si="1"/>
        <v>250001</v>
      </c>
      <c r="B108" s="8" t="str">
        <f>"2561401010725"</f>
        <v>2561401010725</v>
      </c>
      <c r="C108" s="8" t="s">
        <v>7</v>
      </c>
      <c r="D108" s="9">
        <v>53.34</v>
      </c>
      <c r="E108" s="8">
        <v>104</v>
      </c>
    </row>
    <row r="109" s="3" customFormat="1" ht="18.75" spans="1:5">
      <c r="A109" s="8" t="str">
        <f t="shared" si="1"/>
        <v>250001</v>
      </c>
      <c r="B109" s="8" t="str">
        <f>"2561401011011"</f>
        <v>2561401011011</v>
      </c>
      <c r="C109" s="8" t="s">
        <v>7</v>
      </c>
      <c r="D109" s="9">
        <v>53.19</v>
      </c>
      <c r="E109" s="8">
        <v>106</v>
      </c>
    </row>
    <row r="110" s="3" customFormat="1" ht="18.75" spans="1:5">
      <c r="A110" s="8" t="str">
        <f t="shared" si="1"/>
        <v>250001</v>
      </c>
      <c r="B110" s="8" t="str">
        <f>"2561401010930"</f>
        <v>2561401010930</v>
      </c>
      <c r="C110" s="8" t="s">
        <v>7</v>
      </c>
      <c r="D110" s="9">
        <v>53.17</v>
      </c>
      <c r="E110" s="8">
        <v>107</v>
      </c>
    </row>
    <row r="111" s="3" customFormat="1" ht="18.75" spans="1:5">
      <c r="A111" s="8" t="str">
        <f t="shared" si="1"/>
        <v>250001</v>
      </c>
      <c r="B111" s="8" t="str">
        <f>"2561401010921"</f>
        <v>2561401010921</v>
      </c>
      <c r="C111" s="8" t="s">
        <v>7</v>
      </c>
      <c r="D111" s="9">
        <v>53.16</v>
      </c>
      <c r="E111" s="8">
        <v>108</v>
      </c>
    </row>
    <row r="112" s="3" customFormat="1" ht="18.75" spans="1:5">
      <c r="A112" s="8" t="str">
        <f t="shared" si="1"/>
        <v>250001</v>
      </c>
      <c r="B112" s="8" t="str">
        <f>"2561401010906"</f>
        <v>2561401010906</v>
      </c>
      <c r="C112" s="8" t="s">
        <v>7</v>
      </c>
      <c r="D112" s="9">
        <v>52.96</v>
      </c>
      <c r="E112" s="8">
        <v>109</v>
      </c>
    </row>
    <row r="113" s="3" customFormat="1" ht="18.75" spans="1:5">
      <c r="A113" s="8" t="str">
        <f t="shared" si="1"/>
        <v>250001</v>
      </c>
      <c r="B113" s="8" t="str">
        <f>"2561401010107"</f>
        <v>2561401010107</v>
      </c>
      <c r="C113" s="8" t="s">
        <v>7</v>
      </c>
      <c r="D113" s="9">
        <v>52.89</v>
      </c>
      <c r="E113" s="8">
        <v>110</v>
      </c>
    </row>
    <row r="114" s="3" customFormat="1" ht="18.75" spans="1:5">
      <c r="A114" s="8" t="str">
        <f t="shared" si="1"/>
        <v>250001</v>
      </c>
      <c r="B114" s="8" t="str">
        <f>"2561401010828"</f>
        <v>2561401010828</v>
      </c>
      <c r="C114" s="8" t="s">
        <v>7</v>
      </c>
      <c r="D114" s="9">
        <v>52.86</v>
      </c>
      <c r="E114" s="8">
        <v>111</v>
      </c>
    </row>
    <row r="115" s="3" customFormat="1" ht="18.75" spans="1:5">
      <c r="A115" s="8" t="str">
        <f t="shared" si="1"/>
        <v>250001</v>
      </c>
      <c r="B115" s="8" t="str">
        <f>"2561401010706"</f>
        <v>2561401010706</v>
      </c>
      <c r="C115" s="8" t="s">
        <v>7</v>
      </c>
      <c r="D115" s="9">
        <v>52.63</v>
      </c>
      <c r="E115" s="8">
        <v>112</v>
      </c>
    </row>
    <row r="116" s="3" customFormat="1" ht="18.75" spans="1:5">
      <c r="A116" s="8" t="str">
        <f t="shared" si="1"/>
        <v>250001</v>
      </c>
      <c r="B116" s="8" t="str">
        <f>"2561401010204"</f>
        <v>2561401010204</v>
      </c>
      <c r="C116" s="8" t="s">
        <v>7</v>
      </c>
      <c r="D116" s="9">
        <v>52.62</v>
      </c>
      <c r="E116" s="8">
        <v>113</v>
      </c>
    </row>
    <row r="117" s="3" customFormat="1" ht="18.75" spans="1:5">
      <c r="A117" s="8" t="str">
        <f t="shared" si="1"/>
        <v>250001</v>
      </c>
      <c r="B117" s="8" t="str">
        <f>"2561401010105"</f>
        <v>2561401010105</v>
      </c>
      <c r="C117" s="8" t="s">
        <v>7</v>
      </c>
      <c r="D117" s="9">
        <v>52.35</v>
      </c>
      <c r="E117" s="8">
        <v>114</v>
      </c>
    </row>
    <row r="118" s="3" customFormat="1" ht="18.75" spans="1:5">
      <c r="A118" s="8" t="str">
        <f t="shared" si="1"/>
        <v>250001</v>
      </c>
      <c r="B118" s="8" t="str">
        <f>"2561401010612"</f>
        <v>2561401010612</v>
      </c>
      <c r="C118" s="8" t="s">
        <v>7</v>
      </c>
      <c r="D118" s="9">
        <v>52.25</v>
      </c>
      <c r="E118" s="8">
        <v>115</v>
      </c>
    </row>
    <row r="119" s="3" customFormat="1" ht="18.75" spans="1:5">
      <c r="A119" s="8" t="str">
        <f t="shared" si="1"/>
        <v>250001</v>
      </c>
      <c r="B119" s="8" t="str">
        <f>"2561401010924"</f>
        <v>2561401010924</v>
      </c>
      <c r="C119" s="8" t="s">
        <v>7</v>
      </c>
      <c r="D119" s="9">
        <v>52.01</v>
      </c>
      <c r="E119" s="8">
        <v>116</v>
      </c>
    </row>
    <row r="120" s="3" customFormat="1" ht="18.75" spans="1:5">
      <c r="A120" s="8" t="str">
        <f t="shared" si="1"/>
        <v>250001</v>
      </c>
      <c r="B120" s="8" t="str">
        <f>"2561401010928"</f>
        <v>2561401010928</v>
      </c>
      <c r="C120" s="8" t="s">
        <v>7</v>
      </c>
      <c r="D120" s="9">
        <v>51.98</v>
      </c>
      <c r="E120" s="8">
        <v>117</v>
      </c>
    </row>
    <row r="121" s="3" customFormat="1" ht="18.75" spans="1:5">
      <c r="A121" s="8" t="str">
        <f t="shared" si="1"/>
        <v>250001</v>
      </c>
      <c r="B121" s="8" t="str">
        <f>"2561401010129"</f>
        <v>2561401010129</v>
      </c>
      <c r="C121" s="8" t="s">
        <v>7</v>
      </c>
      <c r="D121" s="9">
        <v>51.94</v>
      </c>
      <c r="E121" s="8">
        <v>118</v>
      </c>
    </row>
    <row r="122" s="3" customFormat="1" ht="18.75" spans="1:5">
      <c r="A122" s="8" t="str">
        <f t="shared" si="1"/>
        <v>250001</v>
      </c>
      <c r="B122" s="8" t="str">
        <f>"2561401010305"</f>
        <v>2561401010305</v>
      </c>
      <c r="C122" s="8" t="s">
        <v>7</v>
      </c>
      <c r="D122" s="9">
        <v>51.64</v>
      </c>
      <c r="E122" s="8">
        <v>119</v>
      </c>
    </row>
    <row r="123" s="3" customFormat="1" ht="18.75" spans="1:5">
      <c r="A123" s="8" t="str">
        <f t="shared" si="1"/>
        <v>250001</v>
      </c>
      <c r="B123" s="8" t="str">
        <f>"2561401010823"</f>
        <v>2561401010823</v>
      </c>
      <c r="C123" s="8" t="s">
        <v>7</v>
      </c>
      <c r="D123" s="9">
        <v>51.53</v>
      </c>
      <c r="E123" s="8">
        <v>120</v>
      </c>
    </row>
    <row r="124" s="3" customFormat="1" ht="18.75" spans="1:5">
      <c r="A124" s="8" t="str">
        <f t="shared" si="1"/>
        <v>250001</v>
      </c>
      <c r="B124" s="8" t="str">
        <f>"2561401010606"</f>
        <v>2561401010606</v>
      </c>
      <c r="C124" s="8" t="s">
        <v>7</v>
      </c>
      <c r="D124" s="9">
        <v>51.52</v>
      </c>
      <c r="E124" s="8">
        <v>121</v>
      </c>
    </row>
    <row r="125" s="3" customFormat="1" ht="18.75" spans="1:5">
      <c r="A125" s="8" t="str">
        <f t="shared" si="1"/>
        <v>250001</v>
      </c>
      <c r="B125" s="8" t="str">
        <f>"2561401010430"</f>
        <v>2561401010430</v>
      </c>
      <c r="C125" s="8" t="s">
        <v>7</v>
      </c>
      <c r="D125" s="9">
        <v>51.44</v>
      </c>
      <c r="E125" s="8">
        <v>122</v>
      </c>
    </row>
    <row r="126" s="3" customFormat="1" ht="18.75" spans="1:5">
      <c r="A126" s="8" t="str">
        <f t="shared" si="1"/>
        <v>250001</v>
      </c>
      <c r="B126" s="8" t="str">
        <f>"2561401010311"</f>
        <v>2561401010311</v>
      </c>
      <c r="C126" s="8" t="s">
        <v>7</v>
      </c>
      <c r="D126" s="9">
        <v>51.25</v>
      </c>
      <c r="E126" s="8">
        <v>123</v>
      </c>
    </row>
    <row r="127" s="3" customFormat="1" ht="18.75" spans="1:5">
      <c r="A127" s="8" t="str">
        <f t="shared" si="1"/>
        <v>250001</v>
      </c>
      <c r="B127" s="8" t="str">
        <f>"2561401010225"</f>
        <v>2561401010225</v>
      </c>
      <c r="C127" s="8" t="s">
        <v>7</v>
      </c>
      <c r="D127" s="9">
        <v>50.76</v>
      </c>
      <c r="E127" s="8">
        <v>124</v>
      </c>
    </row>
    <row r="128" s="3" customFormat="1" ht="18.75" spans="1:5">
      <c r="A128" s="8" t="str">
        <f t="shared" si="1"/>
        <v>250001</v>
      </c>
      <c r="B128" s="8" t="str">
        <f>"2561401010228"</f>
        <v>2561401010228</v>
      </c>
      <c r="C128" s="8" t="s">
        <v>7</v>
      </c>
      <c r="D128" s="9">
        <v>50.7</v>
      </c>
      <c r="E128" s="8">
        <v>125</v>
      </c>
    </row>
    <row r="129" s="3" customFormat="1" ht="18.75" spans="1:5">
      <c r="A129" s="8" t="str">
        <f t="shared" si="1"/>
        <v>250001</v>
      </c>
      <c r="B129" s="8" t="str">
        <f>"2561401010628"</f>
        <v>2561401010628</v>
      </c>
      <c r="C129" s="8" t="s">
        <v>7</v>
      </c>
      <c r="D129" s="9">
        <v>50.62</v>
      </c>
      <c r="E129" s="8">
        <v>126</v>
      </c>
    </row>
    <row r="130" s="3" customFormat="1" ht="18.75" spans="1:5">
      <c r="A130" s="8" t="str">
        <f t="shared" si="1"/>
        <v>250001</v>
      </c>
      <c r="B130" s="8" t="str">
        <f>"2561401010611"</f>
        <v>2561401010611</v>
      </c>
      <c r="C130" s="8" t="s">
        <v>7</v>
      </c>
      <c r="D130" s="9">
        <v>50.56</v>
      </c>
      <c r="E130" s="8">
        <v>127</v>
      </c>
    </row>
    <row r="131" s="3" customFormat="1" ht="18.75" spans="1:5">
      <c r="A131" s="8" t="str">
        <f t="shared" si="1"/>
        <v>250001</v>
      </c>
      <c r="B131" s="8" t="str">
        <f>"2561401010718"</f>
        <v>2561401010718</v>
      </c>
      <c r="C131" s="8" t="s">
        <v>7</v>
      </c>
      <c r="D131" s="9">
        <v>50.53</v>
      </c>
      <c r="E131" s="8">
        <v>128</v>
      </c>
    </row>
    <row r="132" s="3" customFormat="1" ht="18.75" spans="1:5">
      <c r="A132" s="8" t="str">
        <f t="shared" ref="A132:A195" si="2">"250001"</f>
        <v>250001</v>
      </c>
      <c r="B132" s="8" t="str">
        <f>"2561401011015"</f>
        <v>2561401011015</v>
      </c>
      <c r="C132" s="8" t="s">
        <v>7</v>
      </c>
      <c r="D132" s="9">
        <v>50.53</v>
      </c>
      <c r="E132" s="8">
        <v>128</v>
      </c>
    </row>
    <row r="133" s="3" customFormat="1" ht="18.75" spans="1:5">
      <c r="A133" s="8" t="str">
        <f t="shared" si="2"/>
        <v>250001</v>
      </c>
      <c r="B133" s="8" t="str">
        <f>"2561401010416"</f>
        <v>2561401010416</v>
      </c>
      <c r="C133" s="8" t="s">
        <v>7</v>
      </c>
      <c r="D133" s="9">
        <v>50.46</v>
      </c>
      <c r="E133" s="8">
        <v>130</v>
      </c>
    </row>
    <row r="134" s="3" customFormat="1" ht="18.75" spans="1:5">
      <c r="A134" s="8" t="str">
        <f t="shared" si="2"/>
        <v>250001</v>
      </c>
      <c r="B134" s="8" t="str">
        <f>"2561401010312"</f>
        <v>2561401010312</v>
      </c>
      <c r="C134" s="8" t="s">
        <v>7</v>
      </c>
      <c r="D134" s="9">
        <v>50.37</v>
      </c>
      <c r="E134" s="8">
        <v>131</v>
      </c>
    </row>
    <row r="135" s="3" customFormat="1" ht="18.75" spans="1:5">
      <c r="A135" s="8" t="str">
        <f t="shared" si="2"/>
        <v>250001</v>
      </c>
      <c r="B135" s="8" t="str">
        <f>"2561401010213"</f>
        <v>2561401010213</v>
      </c>
      <c r="C135" s="8" t="s">
        <v>7</v>
      </c>
      <c r="D135" s="9">
        <v>50.36</v>
      </c>
      <c r="E135" s="8">
        <v>132</v>
      </c>
    </row>
    <row r="136" s="3" customFormat="1" ht="18.75" spans="1:5">
      <c r="A136" s="8" t="str">
        <f t="shared" si="2"/>
        <v>250001</v>
      </c>
      <c r="B136" s="8" t="str">
        <f>"2561401010103"</f>
        <v>2561401010103</v>
      </c>
      <c r="C136" s="8" t="s">
        <v>7</v>
      </c>
      <c r="D136" s="9">
        <v>50.35</v>
      </c>
      <c r="E136" s="8">
        <v>133</v>
      </c>
    </row>
    <row r="137" s="3" customFormat="1" ht="18.75" spans="1:5">
      <c r="A137" s="8" t="str">
        <f t="shared" si="2"/>
        <v>250001</v>
      </c>
      <c r="B137" s="8" t="str">
        <f>"2561401010130"</f>
        <v>2561401010130</v>
      </c>
      <c r="C137" s="8" t="s">
        <v>7</v>
      </c>
      <c r="D137" s="9">
        <v>50.29</v>
      </c>
      <c r="E137" s="8">
        <v>134</v>
      </c>
    </row>
    <row r="138" s="3" customFormat="1" ht="18.75" spans="1:5">
      <c r="A138" s="8" t="str">
        <f t="shared" si="2"/>
        <v>250001</v>
      </c>
      <c r="B138" s="8" t="str">
        <f>"2561401010426"</f>
        <v>2561401010426</v>
      </c>
      <c r="C138" s="8" t="s">
        <v>7</v>
      </c>
      <c r="D138" s="9">
        <v>50.12</v>
      </c>
      <c r="E138" s="8">
        <v>135</v>
      </c>
    </row>
    <row r="139" s="3" customFormat="1" ht="18.75" spans="1:5">
      <c r="A139" s="8" t="str">
        <f t="shared" si="2"/>
        <v>250001</v>
      </c>
      <c r="B139" s="8" t="str">
        <f>"2561401010428"</f>
        <v>2561401010428</v>
      </c>
      <c r="C139" s="8" t="s">
        <v>7</v>
      </c>
      <c r="D139" s="9">
        <v>50.05</v>
      </c>
      <c r="E139" s="8">
        <v>136</v>
      </c>
    </row>
    <row r="140" s="3" customFormat="1" ht="18.75" spans="1:5">
      <c r="A140" s="8" t="str">
        <f t="shared" si="2"/>
        <v>250001</v>
      </c>
      <c r="B140" s="8" t="str">
        <f>"2561401010622"</f>
        <v>2561401010622</v>
      </c>
      <c r="C140" s="8" t="s">
        <v>7</v>
      </c>
      <c r="D140" s="9">
        <v>49.98</v>
      </c>
      <c r="E140" s="8">
        <v>137</v>
      </c>
    </row>
    <row r="141" s="3" customFormat="1" ht="18.75" spans="1:5">
      <c r="A141" s="8" t="str">
        <f t="shared" si="2"/>
        <v>250001</v>
      </c>
      <c r="B141" s="8" t="str">
        <f>"2561401010501"</f>
        <v>2561401010501</v>
      </c>
      <c r="C141" s="8" t="s">
        <v>7</v>
      </c>
      <c r="D141" s="9">
        <v>49.97</v>
      </c>
      <c r="E141" s="8">
        <v>138</v>
      </c>
    </row>
    <row r="142" s="3" customFormat="1" ht="18.75" spans="1:5">
      <c r="A142" s="8" t="str">
        <f t="shared" si="2"/>
        <v>250001</v>
      </c>
      <c r="B142" s="8" t="str">
        <f>"2561401010620"</f>
        <v>2561401010620</v>
      </c>
      <c r="C142" s="8" t="s">
        <v>7</v>
      </c>
      <c r="D142" s="9">
        <v>49.96</v>
      </c>
      <c r="E142" s="8">
        <v>139</v>
      </c>
    </row>
    <row r="143" s="3" customFormat="1" ht="18.75" spans="1:5">
      <c r="A143" s="8" t="str">
        <f t="shared" si="2"/>
        <v>250001</v>
      </c>
      <c r="B143" s="8" t="str">
        <f>"2561401010401"</f>
        <v>2561401010401</v>
      </c>
      <c r="C143" s="8" t="s">
        <v>7</v>
      </c>
      <c r="D143" s="9">
        <v>49.93</v>
      </c>
      <c r="E143" s="8">
        <v>140</v>
      </c>
    </row>
    <row r="144" s="3" customFormat="1" ht="18.75" spans="1:5">
      <c r="A144" s="8" t="str">
        <f t="shared" si="2"/>
        <v>250001</v>
      </c>
      <c r="B144" s="8" t="str">
        <f>"2561401010207"</f>
        <v>2561401010207</v>
      </c>
      <c r="C144" s="8" t="s">
        <v>7</v>
      </c>
      <c r="D144" s="9">
        <v>49.88</v>
      </c>
      <c r="E144" s="8">
        <v>141</v>
      </c>
    </row>
    <row r="145" s="3" customFormat="1" ht="18.75" spans="1:5">
      <c r="A145" s="8" t="str">
        <f t="shared" si="2"/>
        <v>250001</v>
      </c>
      <c r="B145" s="8" t="str">
        <f>"2561401010827"</f>
        <v>2561401010827</v>
      </c>
      <c r="C145" s="8" t="s">
        <v>7</v>
      </c>
      <c r="D145" s="9">
        <v>49.75</v>
      </c>
      <c r="E145" s="8">
        <v>142</v>
      </c>
    </row>
    <row r="146" s="3" customFormat="1" ht="18.75" spans="1:5">
      <c r="A146" s="8" t="str">
        <f t="shared" si="2"/>
        <v>250001</v>
      </c>
      <c r="B146" s="8" t="str">
        <f>"2561401010927"</f>
        <v>2561401010927</v>
      </c>
      <c r="C146" s="8" t="s">
        <v>7</v>
      </c>
      <c r="D146" s="9">
        <v>49.47</v>
      </c>
      <c r="E146" s="8">
        <v>143</v>
      </c>
    </row>
    <row r="147" s="3" customFormat="1" ht="18.75" spans="1:5">
      <c r="A147" s="8" t="str">
        <f t="shared" si="2"/>
        <v>250001</v>
      </c>
      <c r="B147" s="8" t="str">
        <f>"2561401010601"</f>
        <v>2561401010601</v>
      </c>
      <c r="C147" s="8" t="s">
        <v>7</v>
      </c>
      <c r="D147" s="9">
        <v>49.46</v>
      </c>
      <c r="E147" s="8">
        <v>144</v>
      </c>
    </row>
    <row r="148" s="3" customFormat="1" ht="18.75" spans="1:5">
      <c r="A148" s="8" t="str">
        <f t="shared" si="2"/>
        <v>250001</v>
      </c>
      <c r="B148" s="8" t="str">
        <f>"2561401011004"</f>
        <v>2561401011004</v>
      </c>
      <c r="C148" s="8" t="s">
        <v>7</v>
      </c>
      <c r="D148" s="9">
        <v>49.42</v>
      </c>
      <c r="E148" s="8">
        <v>145</v>
      </c>
    </row>
    <row r="149" s="3" customFormat="1" ht="18.75" spans="1:5">
      <c r="A149" s="8" t="str">
        <f t="shared" si="2"/>
        <v>250001</v>
      </c>
      <c r="B149" s="8" t="str">
        <f>"2561401010114"</f>
        <v>2561401010114</v>
      </c>
      <c r="C149" s="8" t="s">
        <v>7</v>
      </c>
      <c r="D149" s="9">
        <v>49.38</v>
      </c>
      <c r="E149" s="8">
        <v>146</v>
      </c>
    </row>
    <row r="150" s="3" customFormat="1" ht="18.75" spans="1:5">
      <c r="A150" s="8" t="str">
        <f t="shared" si="2"/>
        <v>250001</v>
      </c>
      <c r="B150" s="8" t="str">
        <f>"2561401010925"</f>
        <v>2561401010925</v>
      </c>
      <c r="C150" s="8" t="s">
        <v>7</v>
      </c>
      <c r="D150" s="9">
        <v>49.19</v>
      </c>
      <c r="E150" s="8">
        <v>147</v>
      </c>
    </row>
    <row r="151" s="3" customFormat="1" ht="18.75" spans="1:5">
      <c r="A151" s="8" t="str">
        <f t="shared" si="2"/>
        <v>250001</v>
      </c>
      <c r="B151" s="8" t="str">
        <f>"2561401010111"</f>
        <v>2561401010111</v>
      </c>
      <c r="C151" s="8" t="s">
        <v>7</v>
      </c>
      <c r="D151" s="9">
        <v>49.08</v>
      </c>
      <c r="E151" s="8">
        <v>148</v>
      </c>
    </row>
    <row r="152" s="3" customFormat="1" ht="18.75" spans="1:5">
      <c r="A152" s="8" t="str">
        <f t="shared" si="2"/>
        <v>250001</v>
      </c>
      <c r="B152" s="8" t="str">
        <f>"2561401010710"</f>
        <v>2561401010710</v>
      </c>
      <c r="C152" s="8" t="s">
        <v>7</v>
      </c>
      <c r="D152" s="9">
        <v>48.76</v>
      </c>
      <c r="E152" s="8">
        <v>149</v>
      </c>
    </row>
    <row r="153" s="3" customFormat="1" ht="18.75" spans="1:5">
      <c r="A153" s="8" t="str">
        <f t="shared" si="2"/>
        <v>250001</v>
      </c>
      <c r="B153" s="8" t="str">
        <f>"2561401010821"</f>
        <v>2561401010821</v>
      </c>
      <c r="C153" s="8" t="s">
        <v>7</v>
      </c>
      <c r="D153" s="9">
        <v>48.73</v>
      </c>
      <c r="E153" s="8">
        <v>150</v>
      </c>
    </row>
    <row r="154" s="3" customFormat="1" ht="18.75" spans="1:5">
      <c r="A154" s="8" t="str">
        <f t="shared" si="2"/>
        <v>250001</v>
      </c>
      <c r="B154" s="8" t="str">
        <f>"2561401010528"</f>
        <v>2561401010528</v>
      </c>
      <c r="C154" s="8" t="s">
        <v>7</v>
      </c>
      <c r="D154" s="9">
        <v>48.66</v>
      </c>
      <c r="E154" s="8">
        <v>151</v>
      </c>
    </row>
    <row r="155" s="3" customFormat="1" ht="18.75" spans="1:5">
      <c r="A155" s="8" t="str">
        <f t="shared" si="2"/>
        <v>250001</v>
      </c>
      <c r="B155" s="8" t="str">
        <f>"2561401010618"</f>
        <v>2561401010618</v>
      </c>
      <c r="C155" s="8" t="s">
        <v>7</v>
      </c>
      <c r="D155" s="9">
        <v>48.39</v>
      </c>
      <c r="E155" s="8">
        <v>152</v>
      </c>
    </row>
    <row r="156" s="3" customFormat="1" ht="18.75" spans="1:5">
      <c r="A156" s="8" t="str">
        <f t="shared" si="2"/>
        <v>250001</v>
      </c>
      <c r="B156" s="8" t="str">
        <f>"2561401010216"</f>
        <v>2561401010216</v>
      </c>
      <c r="C156" s="8" t="s">
        <v>7</v>
      </c>
      <c r="D156" s="9">
        <v>48.27</v>
      </c>
      <c r="E156" s="8">
        <v>153</v>
      </c>
    </row>
    <row r="157" s="3" customFormat="1" ht="18.75" spans="1:5">
      <c r="A157" s="8" t="str">
        <f t="shared" si="2"/>
        <v>250001</v>
      </c>
      <c r="B157" s="8" t="str">
        <f>"2561401010309"</f>
        <v>2561401010309</v>
      </c>
      <c r="C157" s="8" t="s">
        <v>7</v>
      </c>
      <c r="D157" s="9">
        <v>48.26</v>
      </c>
      <c r="E157" s="8">
        <v>154</v>
      </c>
    </row>
    <row r="158" s="3" customFormat="1" ht="18.75" spans="1:5">
      <c r="A158" s="8" t="str">
        <f t="shared" si="2"/>
        <v>250001</v>
      </c>
      <c r="B158" s="8" t="str">
        <f>"2561401010205"</f>
        <v>2561401010205</v>
      </c>
      <c r="C158" s="8" t="s">
        <v>7</v>
      </c>
      <c r="D158" s="9">
        <v>47.72</v>
      </c>
      <c r="E158" s="8">
        <v>155</v>
      </c>
    </row>
    <row r="159" s="3" customFormat="1" ht="18.75" spans="1:5">
      <c r="A159" s="8" t="str">
        <f t="shared" si="2"/>
        <v>250001</v>
      </c>
      <c r="B159" s="8" t="str">
        <f>"2561401010714"</f>
        <v>2561401010714</v>
      </c>
      <c r="C159" s="8" t="s">
        <v>7</v>
      </c>
      <c r="D159" s="9">
        <v>47.43</v>
      </c>
      <c r="E159" s="8">
        <v>156</v>
      </c>
    </row>
    <row r="160" s="3" customFormat="1" ht="18.75" spans="1:5">
      <c r="A160" s="8" t="str">
        <f t="shared" si="2"/>
        <v>250001</v>
      </c>
      <c r="B160" s="8" t="str">
        <f>"2561401010903"</f>
        <v>2561401010903</v>
      </c>
      <c r="C160" s="8" t="s">
        <v>7</v>
      </c>
      <c r="D160" s="9">
        <v>47.35</v>
      </c>
      <c r="E160" s="8">
        <v>157</v>
      </c>
    </row>
    <row r="161" s="3" customFormat="1" ht="18.75" spans="1:5">
      <c r="A161" s="8" t="str">
        <f t="shared" si="2"/>
        <v>250001</v>
      </c>
      <c r="B161" s="8" t="str">
        <f>"2561401010313"</f>
        <v>2561401010313</v>
      </c>
      <c r="C161" s="8" t="s">
        <v>7</v>
      </c>
      <c r="D161" s="9">
        <v>46.99</v>
      </c>
      <c r="E161" s="8">
        <v>158</v>
      </c>
    </row>
    <row r="162" s="3" customFormat="1" ht="18.75" spans="1:5">
      <c r="A162" s="8" t="str">
        <f t="shared" si="2"/>
        <v>250001</v>
      </c>
      <c r="B162" s="8" t="str">
        <f>"2561401010113"</f>
        <v>2561401010113</v>
      </c>
      <c r="C162" s="8" t="s">
        <v>7</v>
      </c>
      <c r="D162" s="9">
        <v>46.85</v>
      </c>
      <c r="E162" s="8">
        <v>159</v>
      </c>
    </row>
    <row r="163" s="3" customFormat="1" ht="18.75" spans="1:5">
      <c r="A163" s="8" t="str">
        <f t="shared" si="2"/>
        <v>250001</v>
      </c>
      <c r="B163" s="8" t="str">
        <f>"2561401010830"</f>
        <v>2561401010830</v>
      </c>
      <c r="C163" s="8" t="s">
        <v>7</v>
      </c>
      <c r="D163" s="9">
        <v>46.76</v>
      </c>
      <c r="E163" s="8">
        <v>160</v>
      </c>
    </row>
    <row r="164" s="3" customFormat="1" ht="18.75" spans="1:5">
      <c r="A164" s="8" t="str">
        <f t="shared" si="2"/>
        <v>250001</v>
      </c>
      <c r="B164" s="8" t="str">
        <f>"2561401010206"</f>
        <v>2561401010206</v>
      </c>
      <c r="C164" s="8" t="s">
        <v>7</v>
      </c>
      <c r="D164" s="9">
        <v>46.71</v>
      </c>
      <c r="E164" s="8">
        <v>161</v>
      </c>
    </row>
    <row r="165" s="3" customFormat="1" ht="18.75" spans="1:5">
      <c r="A165" s="8" t="str">
        <f t="shared" si="2"/>
        <v>250001</v>
      </c>
      <c r="B165" s="8" t="str">
        <f>"2561401010307"</f>
        <v>2561401010307</v>
      </c>
      <c r="C165" s="8" t="s">
        <v>7</v>
      </c>
      <c r="D165" s="9">
        <v>46.51</v>
      </c>
      <c r="E165" s="8">
        <v>162</v>
      </c>
    </row>
    <row r="166" s="3" customFormat="1" ht="18.75" spans="1:5">
      <c r="A166" s="8" t="str">
        <f t="shared" si="2"/>
        <v>250001</v>
      </c>
      <c r="B166" s="8" t="str">
        <f>"2561401010418"</f>
        <v>2561401010418</v>
      </c>
      <c r="C166" s="8" t="s">
        <v>7</v>
      </c>
      <c r="D166" s="9">
        <v>46.06</v>
      </c>
      <c r="E166" s="8">
        <v>163</v>
      </c>
    </row>
    <row r="167" s="3" customFormat="1" ht="18.75" spans="1:5">
      <c r="A167" s="8" t="str">
        <f t="shared" si="2"/>
        <v>250001</v>
      </c>
      <c r="B167" s="8" t="str">
        <f>"2561401010427"</f>
        <v>2561401010427</v>
      </c>
      <c r="C167" s="8" t="s">
        <v>7</v>
      </c>
      <c r="D167" s="9">
        <v>45.83</v>
      </c>
      <c r="E167" s="8">
        <v>164</v>
      </c>
    </row>
    <row r="168" s="3" customFormat="1" ht="18.75" spans="1:5">
      <c r="A168" s="8" t="str">
        <f t="shared" si="2"/>
        <v>250001</v>
      </c>
      <c r="B168" s="8" t="str">
        <f>"2561401010810"</f>
        <v>2561401010810</v>
      </c>
      <c r="C168" s="8" t="s">
        <v>7</v>
      </c>
      <c r="D168" s="9">
        <v>45.8</v>
      </c>
      <c r="E168" s="8">
        <v>165</v>
      </c>
    </row>
    <row r="169" s="3" customFormat="1" ht="18.75" spans="1:5">
      <c r="A169" s="8" t="str">
        <f t="shared" si="2"/>
        <v>250001</v>
      </c>
      <c r="B169" s="8" t="str">
        <f>"2561401010704"</f>
        <v>2561401010704</v>
      </c>
      <c r="C169" s="8" t="s">
        <v>7</v>
      </c>
      <c r="D169" s="9">
        <v>45.73</v>
      </c>
      <c r="E169" s="8">
        <v>166</v>
      </c>
    </row>
    <row r="170" s="3" customFormat="1" ht="18.75" spans="1:5">
      <c r="A170" s="8" t="str">
        <f t="shared" si="2"/>
        <v>250001</v>
      </c>
      <c r="B170" s="8" t="str">
        <f>"2561401010726"</f>
        <v>2561401010726</v>
      </c>
      <c r="C170" s="8" t="s">
        <v>7</v>
      </c>
      <c r="D170" s="9">
        <v>45.67</v>
      </c>
      <c r="E170" s="8">
        <v>167</v>
      </c>
    </row>
    <row r="171" s="3" customFormat="1" ht="18.75" spans="1:5">
      <c r="A171" s="8" t="str">
        <f t="shared" si="2"/>
        <v>250001</v>
      </c>
      <c r="B171" s="8" t="str">
        <f>"2561401010315"</f>
        <v>2561401010315</v>
      </c>
      <c r="C171" s="8" t="s">
        <v>7</v>
      </c>
      <c r="D171" s="9">
        <v>45.38</v>
      </c>
      <c r="E171" s="8">
        <v>168</v>
      </c>
    </row>
    <row r="172" s="3" customFormat="1" ht="18.75" spans="1:5">
      <c r="A172" s="8" t="str">
        <f t="shared" si="2"/>
        <v>250001</v>
      </c>
      <c r="B172" s="8" t="str">
        <f>"2561401010722"</f>
        <v>2561401010722</v>
      </c>
      <c r="C172" s="8" t="s">
        <v>7</v>
      </c>
      <c r="D172" s="9">
        <v>45.32</v>
      </c>
      <c r="E172" s="8">
        <v>169</v>
      </c>
    </row>
    <row r="173" s="3" customFormat="1" ht="18.75" spans="1:5">
      <c r="A173" s="8" t="str">
        <f t="shared" si="2"/>
        <v>250001</v>
      </c>
      <c r="B173" s="8" t="str">
        <f>"2561401010308"</f>
        <v>2561401010308</v>
      </c>
      <c r="C173" s="8" t="s">
        <v>7</v>
      </c>
      <c r="D173" s="9">
        <v>45.2</v>
      </c>
      <c r="E173" s="8">
        <v>170</v>
      </c>
    </row>
    <row r="174" s="3" customFormat="1" ht="18.75" spans="1:5">
      <c r="A174" s="8" t="str">
        <f t="shared" si="2"/>
        <v>250001</v>
      </c>
      <c r="B174" s="8" t="str">
        <f>"2561401010123"</f>
        <v>2561401010123</v>
      </c>
      <c r="C174" s="8" t="s">
        <v>7</v>
      </c>
      <c r="D174" s="9">
        <v>43.34</v>
      </c>
      <c r="E174" s="8">
        <v>171</v>
      </c>
    </row>
    <row r="175" s="3" customFormat="1" ht="18.75" spans="1:5">
      <c r="A175" s="8" t="str">
        <f t="shared" si="2"/>
        <v>250001</v>
      </c>
      <c r="B175" s="8" t="str">
        <f>"2561401010716"</f>
        <v>2561401010716</v>
      </c>
      <c r="C175" s="8" t="s">
        <v>7</v>
      </c>
      <c r="D175" s="9">
        <v>42.97</v>
      </c>
      <c r="E175" s="8">
        <v>172</v>
      </c>
    </row>
    <row r="176" s="3" customFormat="1" ht="18.75" spans="1:5">
      <c r="A176" s="8" t="str">
        <f t="shared" si="2"/>
        <v>250001</v>
      </c>
      <c r="B176" s="8" t="str">
        <f>"2561401010822"</f>
        <v>2561401010822</v>
      </c>
      <c r="C176" s="8" t="s">
        <v>7</v>
      </c>
      <c r="D176" s="9">
        <v>42.85</v>
      </c>
      <c r="E176" s="8">
        <v>173</v>
      </c>
    </row>
    <row r="177" s="3" customFormat="1" ht="18.75" spans="1:5">
      <c r="A177" s="8" t="str">
        <f t="shared" si="2"/>
        <v>250001</v>
      </c>
      <c r="B177" s="8" t="str">
        <f>"2561401010109"</f>
        <v>2561401010109</v>
      </c>
      <c r="C177" s="8" t="s">
        <v>7</v>
      </c>
      <c r="D177" s="9">
        <v>42.79</v>
      </c>
      <c r="E177" s="8">
        <v>174</v>
      </c>
    </row>
    <row r="178" s="3" customFormat="1" ht="18.75" spans="1:5">
      <c r="A178" s="8" t="str">
        <f t="shared" si="2"/>
        <v>250001</v>
      </c>
      <c r="B178" s="8" t="str">
        <f>"2561401010303"</f>
        <v>2561401010303</v>
      </c>
      <c r="C178" s="8" t="s">
        <v>7</v>
      </c>
      <c r="D178" s="9">
        <v>42.62</v>
      </c>
      <c r="E178" s="8">
        <v>175</v>
      </c>
    </row>
    <row r="179" s="3" customFormat="1" ht="18.75" spans="1:5">
      <c r="A179" s="8" t="str">
        <f t="shared" si="2"/>
        <v>250001</v>
      </c>
      <c r="B179" s="8" t="str">
        <f>"2561401010101"</f>
        <v>2561401010101</v>
      </c>
      <c r="C179" s="8" t="s">
        <v>7</v>
      </c>
      <c r="D179" s="9">
        <v>42.56</v>
      </c>
      <c r="E179" s="8">
        <v>176</v>
      </c>
    </row>
    <row r="180" s="3" customFormat="1" ht="18.75" spans="1:5">
      <c r="A180" s="8" t="str">
        <f t="shared" si="2"/>
        <v>250001</v>
      </c>
      <c r="B180" s="8" t="str">
        <f>"2561401010727"</f>
        <v>2561401010727</v>
      </c>
      <c r="C180" s="8" t="s">
        <v>7</v>
      </c>
      <c r="D180" s="9">
        <v>42.37</v>
      </c>
      <c r="E180" s="8">
        <v>177</v>
      </c>
    </row>
    <row r="181" s="3" customFormat="1" ht="18.75" spans="1:5">
      <c r="A181" s="8" t="str">
        <f t="shared" si="2"/>
        <v>250001</v>
      </c>
      <c r="B181" s="8" t="str">
        <f>"2561401010923"</f>
        <v>2561401010923</v>
      </c>
      <c r="C181" s="8" t="s">
        <v>7</v>
      </c>
      <c r="D181" s="9">
        <v>41.61</v>
      </c>
      <c r="E181" s="8">
        <v>178</v>
      </c>
    </row>
    <row r="182" s="3" customFormat="1" ht="18.75" spans="1:5">
      <c r="A182" s="8" t="str">
        <f t="shared" si="2"/>
        <v>250001</v>
      </c>
      <c r="B182" s="8" t="str">
        <f>"2561401010208"</f>
        <v>2561401010208</v>
      </c>
      <c r="C182" s="8" t="s">
        <v>7</v>
      </c>
      <c r="D182" s="9">
        <v>41.43</v>
      </c>
      <c r="E182" s="8">
        <v>179</v>
      </c>
    </row>
    <row r="183" s="3" customFormat="1" ht="18.75" spans="1:5">
      <c r="A183" s="8" t="str">
        <f t="shared" si="2"/>
        <v>250001</v>
      </c>
      <c r="B183" s="8" t="str">
        <f>"2561401010121"</f>
        <v>2561401010121</v>
      </c>
      <c r="C183" s="8" t="s">
        <v>7</v>
      </c>
      <c r="D183" s="9">
        <v>41.35</v>
      </c>
      <c r="E183" s="8">
        <v>180</v>
      </c>
    </row>
    <row r="184" s="3" customFormat="1" ht="18.75" spans="1:5">
      <c r="A184" s="8" t="str">
        <f t="shared" si="2"/>
        <v>250001</v>
      </c>
      <c r="B184" s="8" t="str">
        <f>"2561401010316"</f>
        <v>2561401010316</v>
      </c>
      <c r="C184" s="8" t="s">
        <v>7</v>
      </c>
      <c r="D184" s="9">
        <v>41.03</v>
      </c>
      <c r="E184" s="8">
        <v>181</v>
      </c>
    </row>
    <row r="185" s="3" customFormat="1" ht="18.75" spans="1:5">
      <c r="A185" s="8" t="str">
        <f t="shared" si="2"/>
        <v>250001</v>
      </c>
      <c r="B185" s="8" t="str">
        <f>"2561401010530"</f>
        <v>2561401010530</v>
      </c>
      <c r="C185" s="8" t="s">
        <v>7</v>
      </c>
      <c r="D185" s="9">
        <v>40.39</v>
      </c>
      <c r="E185" s="8">
        <v>182</v>
      </c>
    </row>
    <row r="186" s="3" customFormat="1" ht="18.75" spans="1:5">
      <c r="A186" s="8" t="str">
        <f t="shared" si="2"/>
        <v>250001</v>
      </c>
      <c r="B186" s="8" t="str">
        <f>"2561401010705"</f>
        <v>2561401010705</v>
      </c>
      <c r="C186" s="8" t="s">
        <v>7</v>
      </c>
      <c r="D186" s="9">
        <v>39.7</v>
      </c>
      <c r="E186" s="8">
        <v>183</v>
      </c>
    </row>
    <row r="187" s="3" customFormat="1" ht="18.75" spans="1:5">
      <c r="A187" s="8" t="str">
        <f t="shared" si="2"/>
        <v>250001</v>
      </c>
      <c r="B187" s="8" t="str">
        <f>"2561401010621"</f>
        <v>2561401010621</v>
      </c>
      <c r="C187" s="8" t="s">
        <v>7</v>
      </c>
      <c r="D187" s="9">
        <v>38.86</v>
      </c>
      <c r="E187" s="8">
        <v>184</v>
      </c>
    </row>
    <row r="188" s="3" customFormat="1" ht="18.75" spans="1:5">
      <c r="A188" s="8" t="str">
        <f t="shared" si="2"/>
        <v>250001</v>
      </c>
      <c r="B188" s="8" t="str">
        <f>"2561401010717"</f>
        <v>2561401010717</v>
      </c>
      <c r="C188" s="8" t="s">
        <v>7</v>
      </c>
      <c r="D188" s="9">
        <v>38.77</v>
      </c>
      <c r="E188" s="8">
        <v>185</v>
      </c>
    </row>
    <row r="189" s="3" customFormat="1" ht="18.75" spans="1:5">
      <c r="A189" s="8" t="str">
        <f t="shared" si="2"/>
        <v>250001</v>
      </c>
      <c r="B189" s="8" t="str">
        <f>"2561401010720"</f>
        <v>2561401010720</v>
      </c>
      <c r="C189" s="8" t="s">
        <v>7</v>
      </c>
      <c r="D189" s="9">
        <v>36.82</v>
      </c>
      <c r="E189" s="8">
        <v>186</v>
      </c>
    </row>
    <row r="190" s="3" customFormat="1" ht="18.75" spans="1:5">
      <c r="A190" s="8" t="str">
        <f t="shared" si="2"/>
        <v>250001</v>
      </c>
      <c r="B190" s="8" t="str">
        <f>"2561401010926"</f>
        <v>2561401010926</v>
      </c>
      <c r="C190" s="8" t="s">
        <v>7</v>
      </c>
      <c r="D190" s="9">
        <v>35.33</v>
      </c>
      <c r="E190" s="8">
        <v>187</v>
      </c>
    </row>
    <row r="191" s="3" customFormat="1" ht="18.75" spans="1:5">
      <c r="A191" s="8" t="str">
        <f t="shared" si="2"/>
        <v>250001</v>
      </c>
      <c r="B191" s="8" t="str">
        <f>"2561401010709"</f>
        <v>2561401010709</v>
      </c>
      <c r="C191" s="8" t="s">
        <v>7</v>
      </c>
      <c r="D191" s="9">
        <v>35.03</v>
      </c>
      <c r="E191" s="8">
        <v>188</v>
      </c>
    </row>
    <row r="192" s="3" customFormat="1" ht="18.75" spans="1:5">
      <c r="A192" s="8" t="str">
        <f t="shared" si="2"/>
        <v>250001</v>
      </c>
      <c r="B192" s="8" t="str">
        <f>"2561401010301"</f>
        <v>2561401010301</v>
      </c>
      <c r="C192" s="8" t="s">
        <v>7</v>
      </c>
      <c r="D192" s="9">
        <v>34.97</v>
      </c>
      <c r="E192" s="8">
        <v>189</v>
      </c>
    </row>
    <row r="193" s="3" customFormat="1" ht="18.75" spans="1:5">
      <c r="A193" s="8" t="str">
        <f t="shared" si="2"/>
        <v>250001</v>
      </c>
      <c r="B193" s="8" t="str">
        <f>"2561401010504"</f>
        <v>2561401010504</v>
      </c>
      <c r="C193" s="8" t="s">
        <v>7</v>
      </c>
      <c r="D193" s="9">
        <v>34.94</v>
      </c>
      <c r="E193" s="8">
        <v>190</v>
      </c>
    </row>
    <row r="194" s="3" customFormat="1" ht="18.75" spans="1:5">
      <c r="A194" s="8" t="str">
        <f t="shared" si="2"/>
        <v>250001</v>
      </c>
      <c r="B194" s="8" t="str">
        <f>"2561401010410"</f>
        <v>2561401010410</v>
      </c>
      <c r="C194" s="8" t="s">
        <v>7</v>
      </c>
      <c r="D194" s="9">
        <v>33.65</v>
      </c>
      <c r="E194" s="8">
        <v>191</v>
      </c>
    </row>
    <row r="195" s="3" customFormat="1" ht="18.75" spans="1:5">
      <c r="A195" s="8" t="str">
        <f t="shared" si="2"/>
        <v>250001</v>
      </c>
      <c r="B195" s="8" t="str">
        <f>"2561401010412"</f>
        <v>2561401010412</v>
      </c>
      <c r="C195" s="8" t="s">
        <v>7</v>
      </c>
      <c r="D195" s="9">
        <v>32.25</v>
      </c>
      <c r="E195" s="8">
        <v>192</v>
      </c>
    </row>
    <row r="196" s="3" customFormat="1" ht="18.75" spans="1:5">
      <c r="A196" s="8" t="str">
        <f t="shared" ref="A196:A259" si="3">"250001"</f>
        <v>250001</v>
      </c>
      <c r="B196" s="8" t="str">
        <f>"2561401010525"</f>
        <v>2561401010525</v>
      </c>
      <c r="C196" s="8" t="s">
        <v>7</v>
      </c>
      <c r="D196" s="9">
        <v>31.6</v>
      </c>
      <c r="E196" s="8">
        <v>193</v>
      </c>
    </row>
    <row r="197" s="3" customFormat="1" ht="18.75" spans="1:5">
      <c r="A197" s="8" t="str">
        <f t="shared" si="3"/>
        <v>250001</v>
      </c>
      <c r="B197" s="8" t="str">
        <f>"2561401010712"</f>
        <v>2561401010712</v>
      </c>
      <c r="C197" s="8" t="s">
        <v>7</v>
      </c>
      <c r="D197" s="9">
        <v>24.02</v>
      </c>
      <c r="E197" s="8">
        <v>194</v>
      </c>
    </row>
    <row r="198" s="3" customFormat="1" ht="18.75" spans="1:5">
      <c r="A198" s="8" t="str">
        <f t="shared" si="3"/>
        <v>250001</v>
      </c>
      <c r="B198" s="8" t="str">
        <f>"2561401010318"</f>
        <v>2561401010318</v>
      </c>
      <c r="C198" s="8" t="s">
        <v>7</v>
      </c>
      <c r="D198" s="9">
        <v>20.22</v>
      </c>
      <c r="E198" s="8">
        <v>195</v>
      </c>
    </row>
    <row r="199" s="3" customFormat="1" ht="18.75" spans="1:5">
      <c r="A199" s="8" t="str">
        <f t="shared" si="3"/>
        <v>250001</v>
      </c>
      <c r="B199" s="8" t="str">
        <f>"2561401010104"</f>
        <v>2561401010104</v>
      </c>
      <c r="C199" s="8" t="s">
        <v>7</v>
      </c>
      <c r="D199" s="9">
        <v>0</v>
      </c>
      <c r="E199" s="8">
        <v>196</v>
      </c>
    </row>
    <row r="200" s="3" customFormat="1" ht="18.75" spans="1:5">
      <c r="A200" s="8" t="str">
        <f t="shared" si="3"/>
        <v>250001</v>
      </c>
      <c r="B200" s="8" t="str">
        <f>"2561401010106"</f>
        <v>2561401010106</v>
      </c>
      <c r="C200" s="8" t="s">
        <v>7</v>
      </c>
      <c r="D200" s="9">
        <v>0</v>
      </c>
      <c r="E200" s="8">
        <v>196</v>
      </c>
    </row>
    <row r="201" s="3" customFormat="1" ht="18.75" spans="1:5">
      <c r="A201" s="8" t="str">
        <f t="shared" si="3"/>
        <v>250001</v>
      </c>
      <c r="B201" s="8" t="str">
        <f>"2561401010110"</f>
        <v>2561401010110</v>
      </c>
      <c r="C201" s="8" t="s">
        <v>7</v>
      </c>
      <c r="D201" s="9">
        <v>0</v>
      </c>
      <c r="E201" s="8">
        <v>196</v>
      </c>
    </row>
    <row r="202" s="3" customFormat="1" ht="18.75" spans="1:5">
      <c r="A202" s="8" t="str">
        <f t="shared" si="3"/>
        <v>250001</v>
      </c>
      <c r="B202" s="8" t="str">
        <f>"2561401010115"</f>
        <v>2561401010115</v>
      </c>
      <c r="C202" s="8" t="s">
        <v>7</v>
      </c>
      <c r="D202" s="9">
        <v>0</v>
      </c>
      <c r="E202" s="8">
        <v>196</v>
      </c>
    </row>
    <row r="203" s="3" customFormat="1" ht="18.75" spans="1:5">
      <c r="A203" s="8" t="str">
        <f t="shared" si="3"/>
        <v>250001</v>
      </c>
      <c r="B203" s="8" t="str">
        <f>"2561401010118"</f>
        <v>2561401010118</v>
      </c>
      <c r="C203" s="8" t="s">
        <v>7</v>
      </c>
      <c r="D203" s="9">
        <v>0</v>
      </c>
      <c r="E203" s="8">
        <v>196</v>
      </c>
    </row>
    <row r="204" s="3" customFormat="1" ht="18.75" spans="1:5">
      <c r="A204" s="8" t="str">
        <f t="shared" si="3"/>
        <v>250001</v>
      </c>
      <c r="B204" s="8" t="str">
        <f>"2561401010119"</f>
        <v>2561401010119</v>
      </c>
      <c r="C204" s="8" t="s">
        <v>7</v>
      </c>
      <c r="D204" s="9">
        <v>0</v>
      </c>
      <c r="E204" s="8">
        <v>196</v>
      </c>
    </row>
    <row r="205" s="3" customFormat="1" ht="18.75" spans="1:5">
      <c r="A205" s="8" t="str">
        <f t="shared" si="3"/>
        <v>250001</v>
      </c>
      <c r="B205" s="8" t="str">
        <f>"2561401010128"</f>
        <v>2561401010128</v>
      </c>
      <c r="C205" s="8" t="s">
        <v>7</v>
      </c>
      <c r="D205" s="9">
        <v>0</v>
      </c>
      <c r="E205" s="8">
        <v>196</v>
      </c>
    </row>
    <row r="206" s="3" customFormat="1" ht="18.75" spans="1:5">
      <c r="A206" s="8" t="str">
        <f t="shared" si="3"/>
        <v>250001</v>
      </c>
      <c r="B206" s="8" t="str">
        <f>"2561401010210"</f>
        <v>2561401010210</v>
      </c>
      <c r="C206" s="8" t="s">
        <v>7</v>
      </c>
      <c r="D206" s="9">
        <v>0</v>
      </c>
      <c r="E206" s="8">
        <v>196</v>
      </c>
    </row>
    <row r="207" s="3" customFormat="1" ht="18.75" spans="1:5">
      <c r="A207" s="8" t="str">
        <f t="shared" si="3"/>
        <v>250001</v>
      </c>
      <c r="B207" s="8" t="str">
        <f>"2561401010211"</f>
        <v>2561401010211</v>
      </c>
      <c r="C207" s="8" t="s">
        <v>7</v>
      </c>
      <c r="D207" s="9">
        <v>0</v>
      </c>
      <c r="E207" s="8">
        <v>196</v>
      </c>
    </row>
    <row r="208" s="3" customFormat="1" ht="18.75" spans="1:5">
      <c r="A208" s="8" t="str">
        <f t="shared" si="3"/>
        <v>250001</v>
      </c>
      <c r="B208" s="8" t="str">
        <f>"2561401010215"</f>
        <v>2561401010215</v>
      </c>
      <c r="C208" s="8" t="s">
        <v>7</v>
      </c>
      <c r="D208" s="9">
        <v>0</v>
      </c>
      <c r="E208" s="8">
        <v>196</v>
      </c>
    </row>
    <row r="209" s="3" customFormat="1" ht="18.75" spans="1:5">
      <c r="A209" s="8" t="str">
        <f t="shared" si="3"/>
        <v>250001</v>
      </c>
      <c r="B209" s="8" t="str">
        <f>"2561401010220"</f>
        <v>2561401010220</v>
      </c>
      <c r="C209" s="8" t="s">
        <v>7</v>
      </c>
      <c r="D209" s="9">
        <v>0</v>
      </c>
      <c r="E209" s="8">
        <v>196</v>
      </c>
    </row>
    <row r="210" s="3" customFormat="1" ht="18.75" spans="1:5">
      <c r="A210" s="8" t="str">
        <f t="shared" si="3"/>
        <v>250001</v>
      </c>
      <c r="B210" s="8" t="str">
        <f>"2561401010223"</f>
        <v>2561401010223</v>
      </c>
      <c r="C210" s="8" t="s">
        <v>7</v>
      </c>
      <c r="D210" s="9">
        <v>0</v>
      </c>
      <c r="E210" s="8">
        <v>196</v>
      </c>
    </row>
    <row r="211" s="3" customFormat="1" ht="18.75" spans="1:5">
      <c r="A211" s="8" t="str">
        <f t="shared" si="3"/>
        <v>250001</v>
      </c>
      <c r="B211" s="8" t="str">
        <f>"2561401010224"</f>
        <v>2561401010224</v>
      </c>
      <c r="C211" s="8" t="s">
        <v>7</v>
      </c>
      <c r="D211" s="9">
        <v>0</v>
      </c>
      <c r="E211" s="8">
        <v>196</v>
      </c>
    </row>
    <row r="212" s="3" customFormat="1" ht="18.75" spans="1:5">
      <c r="A212" s="8" t="str">
        <f t="shared" si="3"/>
        <v>250001</v>
      </c>
      <c r="B212" s="8" t="str">
        <f>"2561401010226"</f>
        <v>2561401010226</v>
      </c>
      <c r="C212" s="8" t="s">
        <v>7</v>
      </c>
      <c r="D212" s="9">
        <v>0</v>
      </c>
      <c r="E212" s="8">
        <v>196</v>
      </c>
    </row>
    <row r="213" s="3" customFormat="1" ht="18.75" spans="1:5">
      <c r="A213" s="8" t="str">
        <f t="shared" si="3"/>
        <v>250001</v>
      </c>
      <c r="B213" s="8" t="str">
        <f>"2561401010229"</f>
        <v>2561401010229</v>
      </c>
      <c r="C213" s="8" t="s">
        <v>7</v>
      </c>
      <c r="D213" s="9">
        <v>0</v>
      </c>
      <c r="E213" s="8">
        <v>196</v>
      </c>
    </row>
    <row r="214" s="3" customFormat="1" ht="18.75" spans="1:5">
      <c r="A214" s="8" t="str">
        <f t="shared" si="3"/>
        <v>250001</v>
      </c>
      <c r="B214" s="8" t="str">
        <f>"2561401010230"</f>
        <v>2561401010230</v>
      </c>
      <c r="C214" s="8" t="s">
        <v>7</v>
      </c>
      <c r="D214" s="9">
        <v>0</v>
      </c>
      <c r="E214" s="8">
        <v>196</v>
      </c>
    </row>
    <row r="215" s="3" customFormat="1" ht="18.75" spans="1:5">
      <c r="A215" s="8" t="str">
        <f t="shared" si="3"/>
        <v>250001</v>
      </c>
      <c r="B215" s="8" t="str">
        <f>"2561401010302"</f>
        <v>2561401010302</v>
      </c>
      <c r="C215" s="8" t="s">
        <v>7</v>
      </c>
      <c r="D215" s="9">
        <v>0</v>
      </c>
      <c r="E215" s="8">
        <v>196</v>
      </c>
    </row>
    <row r="216" s="3" customFormat="1" ht="18.75" spans="1:5">
      <c r="A216" s="8" t="str">
        <f t="shared" si="3"/>
        <v>250001</v>
      </c>
      <c r="B216" s="8" t="str">
        <f>"2561401010306"</f>
        <v>2561401010306</v>
      </c>
      <c r="C216" s="8" t="s">
        <v>7</v>
      </c>
      <c r="D216" s="9">
        <v>0</v>
      </c>
      <c r="E216" s="8">
        <v>196</v>
      </c>
    </row>
    <row r="217" s="3" customFormat="1" ht="18.75" spans="1:5">
      <c r="A217" s="8" t="str">
        <f t="shared" si="3"/>
        <v>250001</v>
      </c>
      <c r="B217" s="8" t="str">
        <f>"2561401010314"</f>
        <v>2561401010314</v>
      </c>
      <c r="C217" s="8" t="s">
        <v>7</v>
      </c>
      <c r="D217" s="9">
        <v>0</v>
      </c>
      <c r="E217" s="8">
        <v>196</v>
      </c>
    </row>
    <row r="218" s="3" customFormat="1" ht="18.75" spans="1:5">
      <c r="A218" s="8" t="str">
        <f t="shared" si="3"/>
        <v>250001</v>
      </c>
      <c r="B218" s="8" t="str">
        <f>"2561401010317"</f>
        <v>2561401010317</v>
      </c>
      <c r="C218" s="8" t="s">
        <v>7</v>
      </c>
      <c r="D218" s="9">
        <v>0</v>
      </c>
      <c r="E218" s="8">
        <v>196</v>
      </c>
    </row>
    <row r="219" s="3" customFormat="1" ht="18.75" spans="1:5">
      <c r="A219" s="8" t="str">
        <f t="shared" si="3"/>
        <v>250001</v>
      </c>
      <c r="B219" s="8" t="str">
        <f>"2561401010320"</f>
        <v>2561401010320</v>
      </c>
      <c r="C219" s="8" t="s">
        <v>7</v>
      </c>
      <c r="D219" s="9">
        <v>0</v>
      </c>
      <c r="E219" s="8">
        <v>196</v>
      </c>
    </row>
    <row r="220" s="3" customFormat="1" ht="18.75" spans="1:5">
      <c r="A220" s="8" t="str">
        <f t="shared" si="3"/>
        <v>250001</v>
      </c>
      <c r="B220" s="8" t="str">
        <f>"2561401010323"</f>
        <v>2561401010323</v>
      </c>
      <c r="C220" s="8" t="s">
        <v>7</v>
      </c>
      <c r="D220" s="9">
        <v>0</v>
      </c>
      <c r="E220" s="8">
        <v>196</v>
      </c>
    </row>
    <row r="221" s="3" customFormat="1" ht="18.75" spans="1:5">
      <c r="A221" s="8" t="str">
        <f t="shared" si="3"/>
        <v>250001</v>
      </c>
      <c r="B221" s="8" t="str">
        <f>"2561401010324"</f>
        <v>2561401010324</v>
      </c>
      <c r="C221" s="8" t="s">
        <v>7</v>
      </c>
      <c r="D221" s="9">
        <v>0</v>
      </c>
      <c r="E221" s="8">
        <v>196</v>
      </c>
    </row>
    <row r="222" s="3" customFormat="1" ht="18.75" spans="1:5">
      <c r="A222" s="8" t="str">
        <f t="shared" si="3"/>
        <v>250001</v>
      </c>
      <c r="B222" s="8" t="str">
        <f>"2561401010326"</f>
        <v>2561401010326</v>
      </c>
      <c r="C222" s="8" t="s">
        <v>7</v>
      </c>
      <c r="D222" s="9">
        <v>0</v>
      </c>
      <c r="E222" s="8">
        <v>196</v>
      </c>
    </row>
    <row r="223" s="3" customFormat="1" ht="18.75" spans="1:5">
      <c r="A223" s="8" t="str">
        <f t="shared" si="3"/>
        <v>250001</v>
      </c>
      <c r="B223" s="8" t="str">
        <f>"2561401010328"</f>
        <v>2561401010328</v>
      </c>
      <c r="C223" s="8" t="s">
        <v>7</v>
      </c>
      <c r="D223" s="9">
        <v>0</v>
      </c>
      <c r="E223" s="8">
        <v>196</v>
      </c>
    </row>
    <row r="224" s="3" customFormat="1" ht="18.75" spans="1:5">
      <c r="A224" s="8" t="str">
        <f t="shared" si="3"/>
        <v>250001</v>
      </c>
      <c r="B224" s="8" t="str">
        <f>"2561401010403"</f>
        <v>2561401010403</v>
      </c>
      <c r="C224" s="8" t="s">
        <v>7</v>
      </c>
      <c r="D224" s="9">
        <v>0</v>
      </c>
      <c r="E224" s="8">
        <v>196</v>
      </c>
    </row>
    <row r="225" s="3" customFormat="1" ht="18.75" spans="1:5">
      <c r="A225" s="8" t="str">
        <f t="shared" si="3"/>
        <v>250001</v>
      </c>
      <c r="B225" s="8" t="str">
        <f>"2561401010404"</f>
        <v>2561401010404</v>
      </c>
      <c r="C225" s="8" t="s">
        <v>7</v>
      </c>
      <c r="D225" s="9">
        <v>0</v>
      </c>
      <c r="E225" s="8">
        <v>196</v>
      </c>
    </row>
    <row r="226" s="3" customFormat="1" ht="18.75" spans="1:5">
      <c r="A226" s="8" t="str">
        <f t="shared" si="3"/>
        <v>250001</v>
      </c>
      <c r="B226" s="8" t="str">
        <f>"2561401010406"</f>
        <v>2561401010406</v>
      </c>
      <c r="C226" s="8" t="s">
        <v>7</v>
      </c>
      <c r="D226" s="9">
        <v>0</v>
      </c>
      <c r="E226" s="8">
        <v>196</v>
      </c>
    </row>
    <row r="227" s="3" customFormat="1" ht="18.75" spans="1:5">
      <c r="A227" s="8" t="str">
        <f t="shared" si="3"/>
        <v>250001</v>
      </c>
      <c r="B227" s="8" t="str">
        <f>"2561401010407"</f>
        <v>2561401010407</v>
      </c>
      <c r="C227" s="8" t="s">
        <v>7</v>
      </c>
      <c r="D227" s="9">
        <v>0</v>
      </c>
      <c r="E227" s="8">
        <v>196</v>
      </c>
    </row>
    <row r="228" s="3" customFormat="1" ht="18.75" spans="1:5">
      <c r="A228" s="8" t="str">
        <f t="shared" si="3"/>
        <v>250001</v>
      </c>
      <c r="B228" s="8" t="str">
        <f>"2561401010408"</f>
        <v>2561401010408</v>
      </c>
      <c r="C228" s="8" t="s">
        <v>7</v>
      </c>
      <c r="D228" s="9">
        <v>0</v>
      </c>
      <c r="E228" s="8">
        <v>196</v>
      </c>
    </row>
    <row r="229" s="3" customFormat="1" ht="18.75" spans="1:5">
      <c r="A229" s="8" t="str">
        <f t="shared" si="3"/>
        <v>250001</v>
      </c>
      <c r="B229" s="8" t="str">
        <f>"2561401010409"</f>
        <v>2561401010409</v>
      </c>
      <c r="C229" s="8" t="s">
        <v>7</v>
      </c>
      <c r="D229" s="9">
        <v>0</v>
      </c>
      <c r="E229" s="8">
        <v>196</v>
      </c>
    </row>
    <row r="230" s="3" customFormat="1" ht="18.75" spans="1:5">
      <c r="A230" s="8" t="str">
        <f t="shared" si="3"/>
        <v>250001</v>
      </c>
      <c r="B230" s="8" t="str">
        <f>"2561401010413"</f>
        <v>2561401010413</v>
      </c>
      <c r="C230" s="8" t="s">
        <v>7</v>
      </c>
      <c r="D230" s="9">
        <v>0</v>
      </c>
      <c r="E230" s="8">
        <v>196</v>
      </c>
    </row>
    <row r="231" s="3" customFormat="1" ht="18.75" spans="1:5">
      <c r="A231" s="8" t="str">
        <f t="shared" si="3"/>
        <v>250001</v>
      </c>
      <c r="B231" s="8" t="str">
        <f>"2561401010414"</f>
        <v>2561401010414</v>
      </c>
      <c r="C231" s="8" t="s">
        <v>7</v>
      </c>
      <c r="D231" s="9">
        <v>0</v>
      </c>
      <c r="E231" s="8">
        <v>196</v>
      </c>
    </row>
    <row r="232" s="3" customFormat="1" ht="18.75" spans="1:5">
      <c r="A232" s="8" t="str">
        <f t="shared" si="3"/>
        <v>250001</v>
      </c>
      <c r="B232" s="8" t="str">
        <f>"2561401010419"</f>
        <v>2561401010419</v>
      </c>
      <c r="C232" s="8" t="s">
        <v>7</v>
      </c>
      <c r="D232" s="9">
        <v>0</v>
      </c>
      <c r="E232" s="8">
        <v>196</v>
      </c>
    </row>
    <row r="233" s="3" customFormat="1" ht="18.75" spans="1:5">
      <c r="A233" s="8" t="str">
        <f t="shared" si="3"/>
        <v>250001</v>
      </c>
      <c r="B233" s="8" t="str">
        <f>"2561401010420"</f>
        <v>2561401010420</v>
      </c>
      <c r="C233" s="8" t="s">
        <v>7</v>
      </c>
      <c r="D233" s="9">
        <v>0</v>
      </c>
      <c r="E233" s="8">
        <v>196</v>
      </c>
    </row>
    <row r="234" s="3" customFormat="1" ht="18.75" spans="1:5">
      <c r="A234" s="8" t="str">
        <f t="shared" si="3"/>
        <v>250001</v>
      </c>
      <c r="B234" s="8" t="str">
        <f>"2561401010424"</f>
        <v>2561401010424</v>
      </c>
      <c r="C234" s="8" t="s">
        <v>7</v>
      </c>
      <c r="D234" s="9">
        <v>0</v>
      </c>
      <c r="E234" s="8">
        <v>196</v>
      </c>
    </row>
    <row r="235" s="3" customFormat="1" ht="18.75" spans="1:5">
      <c r="A235" s="8" t="str">
        <f t="shared" si="3"/>
        <v>250001</v>
      </c>
      <c r="B235" s="8" t="str">
        <f>"2561401010425"</f>
        <v>2561401010425</v>
      </c>
      <c r="C235" s="8" t="s">
        <v>7</v>
      </c>
      <c r="D235" s="9">
        <v>0</v>
      </c>
      <c r="E235" s="8">
        <v>196</v>
      </c>
    </row>
    <row r="236" s="3" customFormat="1" ht="18.75" spans="1:5">
      <c r="A236" s="8" t="str">
        <f t="shared" si="3"/>
        <v>250001</v>
      </c>
      <c r="B236" s="8" t="str">
        <f>"2561401010429"</f>
        <v>2561401010429</v>
      </c>
      <c r="C236" s="8" t="s">
        <v>7</v>
      </c>
      <c r="D236" s="9">
        <v>0</v>
      </c>
      <c r="E236" s="8">
        <v>196</v>
      </c>
    </row>
    <row r="237" s="3" customFormat="1" ht="18.75" spans="1:5">
      <c r="A237" s="8" t="str">
        <f t="shared" si="3"/>
        <v>250001</v>
      </c>
      <c r="B237" s="8" t="str">
        <f>"2561401010502"</f>
        <v>2561401010502</v>
      </c>
      <c r="C237" s="8" t="s">
        <v>7</v>
      </c>
      <c r="D237" s="9">
        <v>0</v>
      </c>
      <c r="E237" s="8">
        <v>196</v>
      </c>
    </row>
    <row r="238" s="3" customFormat="1" ht="18.75" spans="1:5">
      <c r="A238" s="8" t="str">
        <f t="shared" si="3"/>
        <v>250001</v>
      </c>
      <c r="B238" s="8" t="str">
        <f>"2561401010505"</f>
        <v>2561401010505</v>
      </c>
      <c r="C238" s="8" t="s">
        <v>7</v>
      </c>
      <c r="D238" s="9">
        <v>0</v>
      </c>
      <c r="E238" s="8">
        <v>196</v>
      </c>
    </row>
    <row r="239" s="3" customFormat="1" ht="18.75" spans="1:5">
      <c r="A239" s="8" t="str">
        <f t="shared" si="3"/>
        <v>250001</v>
      </c>
      <c r="B239" s="8" t="str">
        <f>"2561401010512"</f>
        <v>2561401010512</v>
      </c>
      <c r="C239" s="8" t="s">
        <v>7</v>
      </c>
      <c r="D239" s="9">
        <v>0</v>
      </c>
      <c r="E239" s="8">
        <v>196</v>
      </c>
    </row>
    <row r="240" s="3" customFormat="1" ht="18.75" spans="1:5">
      <c r="A240" s="8" t="str">
        <f t="shared" si="3"/>
        <v>250001</v>
      </c>
      <c r="B240" s="8" t="str">
        <f>"2561401010513"</f>
        <v>2561401010513</v>
      </c>
      <c r="C240" s="8" t="s">
        <v>7</v>
      </c>
      <c r="D240" s="9">
        <v>0</v>
      </c>
      <c r="E240" s="8">
        <v>196</v>
      </c>
    </row>
    <row r="241" s="3" customFormat="1" ht="18.75" spans="1:5">
      <c r="A241" s="8" t="str">
        <f t="shared" si="3"/>
        <v>250001</v>
      </c>
      <c r="B241" s="8" t="str">
        <f>"2561401010516"</f>
        <v>2561401010516</v>
      </c>
      <c r="C241" s="8" t="s">
        <v>7</v>
      </c>
      <c r="D241" s="9">
        <v>0</v>
      </c>
      <c r="E241" s="8">
        <v>196</v>
      </c>
    </row>
    <row r="242" s="3" customFormat="1" ht="18.75" spans="1:5">
      <c r="A242" s="8" t="str">
        <f t="shared" si="3"/>
        <v>250001</v>
      </c>
      <c r="B242" s="8" t="str">
        <f>"2561401010517"</f>
        <v>2561401010517</v>
      </c>
      <c r="C242" s="8" t="s">
        <v>7</v>
      </c>
      <c r="D242" s="9">
        <v>0</v>
      </c>
      <c r="E242" s="8">
        <v>196</v>
      </c>
    </row>
    <row r="243" s="3" customFormat="1" ht="18.75" spans="1:5">
      <c r="A243" s="8" t="str">
        <f t="shared" si="3"/>
        <v>250001</v>
      </c>
      <c r="B243" s="8" t="str">
        <f>"2561401010520"</f>
        <v>2561401010520</v>
      </c>
      <c r="C243" s="8" t="s">
        <v>7</v>
      </c>
      <c r="D243" s="9">
        <v>0</v>
      </c>
      <c r="E243" s="8">
        <v>196</v>
      </c>
    </row>
    <row r="244" s="3" customFormat="1" ht="18.75" spans="1:5">
      <c r="A244" s="8" t="str">
        <f t="shared" si="3"/>
        <v>250001</v>
      </c>
      <c r="B244" s="8" t="str">
        <f>"2561401010524"</f>
        <v>2561401010524</v>
      </c>
      <c r="C244" s="8" t="s">
        <v>7</v>
      </c>
      <c r="D244" s="9">
        <v>0</v>
      </c>
      <c r="E244" s="8">
        <v>196</v>
      </c>
    </row>
    <row r="245" s="3" customFormat="1" ht="18.75" spans="1:5">
      <c r="A245" s="8" t="str">
        <f t="shared" si="3"/>
        <v>250001</v>
      </c>
      <c r="B245" s="8" t="str">
        <f>"2561401010526"</f>
        <v>2561401010526</v>
      </c>
      <c r="C245" s="8" t="s">
        <v>7</v>
      </c>
      <c r="D245" s="9">
        <v>0</v>
      </c>
      <c r="E245" s="8">
        <v>196</v>
      </c>
    </row>
    <row r="246" s="3" customFormat="1" ht="18.75" spans="1:5">
      <c r="A246" s="8" t="str">
        <f t="shared" si="3"/>
        <v>250001</v>
      </c>
      <c r="B246" s="8" t="str">
        <f>"2561401010529"</f>
        <v>2561401010529</v>
      </c>
      <c r="C246" s="8" t="s">
        <v>7</v>
      </c>
      <c r="D246" s="9">
        <v>0</v>
      </c>
      <c r="E246" s="8">
        <v>196</v>
      </c>
    </row>
    <row r="247" s="3" customFormat="1" ht="18.75" spans="1:5">
      <c r="A247" s="8" t="str">
        <f t="shared" si="3"/>
        <v>250001</v>
      </c>
      <c r="B247" s="8" t="str">
        <f>"2561401010603"</f>
        <v>2561401010603</v>
      </c>
      <c r="C247" s="8" t="s">
        <v>7</v>
      </c>
      <c r="D247" s="9">
        <v>0</v>
      </c>
      <c r="E247" s="8">
        <v>196</v>
      </c>
    </row>
    <row r="248" s="3" customFormat="1" ht="18.75" spans="1:5">
      <c r="A248" s="8" t="str">
        <f t="shared" si="3"/>
        <v>250001</v>
      </c>
      <c r="B248" s="8" t="str">
        <f>"2561401010605"</f>
        <v>2561401010605</v>
      </c>
      <c r="C248" s="8" t="s">
        <v>7</v>
      </c>
      <c r="D248" s="9">
        <v>0</v>
      </c>
      <c r="E248" s="8">
        <v>196</v>
      </c>
    </row>
    <row r="249" s="3" customFormat="1" ht="18.75" spans="1:5">
      <c r="A249" s="8" t="str">
        <f t="shared" si="3"/>
        <v>250001</v>
      </c>
      <c r="B249" s="8" t="str">
        <f>"2561401010607"</f>
        <v>2561401010607</v>
      </c>
      <c r="C249" s="8" t="s">
        <v>7</v>
      </c>
      <c r="D249" s="9">
        <v>0</v>
      </c>
      <c r="E249" s="8">
        <v>196</v>
      </c>
    </row>
    <row r="250" s="3" customFormat="1" ht="18.75" spans="1:5">
      <c r="A250" s="8" t="str">
        <f t="shared" si="3"/>
        <v>250001</v>
      </c>
      <c r="B250" s="8" t="str">
        <f>"2561401010609"</f>
        <v>2561401010609</v>
      </c>
      <c r="C250" s="8" t="s">
        <v>7</v>
      </c>
      <c r="D250" s="9">
        <v>0</v>
      </c>
      <c r="E250" s="8">
        <v>196</v>
      </c>
    </row>
    <row r="251" s="3" customFormat="1" ht="18.75" spans="1:5">
      <c r="A251" s="8" t="str">
        <f t="shared" si="3"/>
        <v>250001</v>
      </c>
      <c r="B251" s="8" t="str">
        <f>"2561401010610"</f>
        <v>2561401010610</v>
      </c>
      <c r="C251" s="8" t="s">
        <v>7</v>
      </c>
      <c r="D251" s="9">
        <v>0</v>
      </c>
      <c r="E251" s="8">
        <v>196</v>
      </c>
    </row>
    <row r="252" s="3" customFormat="1" ht="18.75" spans="1:5">
      <c r="A252" s="8" t="str">
        <f t="shared" si="3"/>
        <v>250001</v>
      </c>
      <c r="B252" s="8" t="str">
        <f>"2561401010613"</f>
        <v>2561401010613</v>
      </c>
      <c r="C252" s="8" t="s">
        <v>7</v>
      </c>
      <c r="D252" s="9">
        <v>0</v>
      </c>
      <c r="E252" s="8">
        <v>196</v>
      </c>
    </row>
    <row r="253" s="3" customFormat="1" ht="18.75" spans="1:5">
      <c r="A253" s="8" t="str">
        <f t="shared" si="3"/>
        <v>250001</v>
      </c>
      <c r="B253" s="8" t="str">
        <f>"2561401010625"</f>
        <v>2561401010625</v>
      </c>
      <c r="C253" s="8" t="s">
        <v>7</v>
      </c>
      <c r="D253" s="9">
        <v>0</v>
      </c>
      <c r="E253" s="8">
        <v>196</v>
      </c>
    </row>
    <row r="254" s="3" customFormat="1" ht="18.75" spans="1:5">
      <c r="A254" s="8" t="str">
        <f t="shared" si="3"/>
        <v>250001</v>
      </c>
      <c r="B254" s="8" t="str">
        <f>"2561401010626"</f>
        <v>2561401010626</v>
      </c>
      <c r="C254" s="8" t="s">
        <v>7</v>
      </c>
      <c r="D254" s="9">
        <v>0</v>
      </c>
      <c r="E254" s="8">
        <v>196</v>
      </c>
    </row>
    <row r="255" s="3" customFormat="1" ht="18.75" spans="1:5">
      <c r="A255" s="8" t="str">
        <f t="shared" si="3"/>
        <v>250001</v>
      </c>
      <c r="B255" s="8" t="str">
        <f>"2561401010627"</f>
        <v>2561401010627</v>
      </c>
      <c r="C255" s="8" t="s">
        <v>7</v>
      </c>
      <c r="D255" s="9">
        <v>0</v>
      </c>
      <c r="E255" s="8">
        <v>196</v>
      </c>
    </row>
    <row r="256" s="3" customFormat="1" ht="18.75" spans="1:5">
      <c r="A256" s="8" t="str">
        <f t="shared" si="3"/>
        <v>250001</v>
      </c>
      <c r="B256" s="8" t="str">
        <f>"2561401010629"</f>
        <v>2561401010629</v>
      </c>
      <c r="C256" s="8" t="s">
        <v>7</v>
      </c>
      <c r="D256" s="9">
        <v>0</v>
      </c>
      <c r="E256" s="8">
        <v>196</v>
      </c>
    </row>
    <row r="257" s="3" customFormat="1" ht="18.75" spans="1:5">
      <c r="A257" s="8" t="str">
        <f t="shared" si="3"/>
        <v>250001</v>
      </c>
      <c r="B257" s="8" t="str">
        <f>"2561401010701"</f>
        <v>2561401010701</v>
      </c>
      <c r="C257" s="8" t="s">
        <v>7</v>
      </c>
      <c r="D257" s="9">
        <v>0</v>
      </c>
      <c r="E257" s="8">
        <v>196</v>
      </c>
    </row>
    <row r="258" s="3" customFormat="1" ht="18.75" spans="1:5">
      <c r="A258" s="8" t="str">
        <f t="shared" si="3"/>
        <v>250001</v>
      </c>
      <c r="B258" s="8" t="str">
        <f>"2561401010703"</f>
        <v>2561401010703</v>
      </c>
      <c r="C258" s="8" t="s">
        <v>7</v>
      </c>
      <c r="D258" s="9">
        <v>0</v>
      </c>
      <c r="E258" s="8">
        <v>196</v>
      </c>
    </row>
    <row r="259" s="3" customFormat="1" ht="18.75" spans="1:5">
      <c r="A259" s="8" t="str">
        <f t="shared" si="3"/>
        <v>250001</v>
      </c>
      <c r="B259" s="8" t="str">
        <f>"2561401010707"</f>
        <v>2561401010707</v>
      </c>
      <c r="C259" s="8" t="s">
        <v>7</v>
      </c>
      <c r="D259" s="9">
        <v>0</v>
      </c>
      <c r="E259" s="8">
        <v>196</v>
      </c>
    </row>
    <row r="260" s="3" customFormat="1" ht="18.75" spans="1:5">
      <c r="A260" s="8" t="str">
        <f t="shared" ref="A260:A289" si="4">"250001"</f>
        <v>250001</v>
      </c>
      <c r="B260" s="8" t="str">
        <f>"2561401010708"</f>
        <v>2561401010708</v>
      </c>
      <c r="C260" s="8" t="s">
        <v>7</v>
      </c>
      <c r="D260" s="9">
        <v>0</v>
      </c>
      <c r="E260" s="8">
        <v>196</v>
      </c>
    </row>
    <row r="261" s="3" customFormat="1" ht="18.75" spans="1:5">
      <c r="A261" s="8" t="str">
        <f t="shared" si="4"/>
        <v>250001</v>
      </c>
      <c r="B261" s="8" t="str">
        <f>"2561401010713"</f>
        <v>2561401010713</v>
      </c>
      <c r="C261" s="8" t="s">
        <v>7</v>
      </c>
      <c r="D261" s="9">
        <v>0</v>
      </c>
      <c r="E261" s="8">
        <v>196</v>
      </c>
    </row>
    <row r="262" s="3" customFormat="1" ht="18.75" spans="1:5">
      <c r="A262" s="8" t="str">
        <f t="shared" si="4"/>
        <v>250001</v>
      </c>
      <c r="B262" s="8" t="str">
        <f>"2561401010724"</f>
        <v>2561401010724</v>
      </c>
      <c r="C262" s="8" t="s">
        <v>7</v>
      </c>
      <c r="D262" s="9">
        <v>0</v>
      </c>
      <c r="E262" s="8">
        <v>196</v>
      </c>
    </row>
    <row r="263" s="3" customFormat="1" ht="18.75" spans="1:5">
      <c r="A263" s="8" t="str">
        <f t="shared" si="4"/>
        <v>250001</v>
      </c>
      <c r="B263" s="8" t="str">
        <f>"2561401010801"</f>
        <v>2561401010801</v>
      </c>
      <c r="C263" s="8" t="s">
        <v>7</v>
      </c>
      <c r="D263" s="9">
        <v>0</v>
      </c>
      <c r="E263" s="8">
        <v>196</v>
      </c>
    </row>
    <row r="264" s="3" customFormat="1" ht="18.75" spans="1:5">
      <c r="A264" s="8" t="str">
        <f t="shared" si="4"/>
        <v>250001</v>
      </c>
      <c r="B264" s="8" t="str">
        <f>"2561401010804"</f>
        <v>2561401010804</v>
      </c>
      <c r="C264" s="8" t="s">
        <v>7</v>
      </c>
      <c r="D264" s="9">
        <v>0</v>
      </c>
      <c r="E264" s="8">
        <v>196</v>
      </c>
    </row>
    <row r="265" s="3" customFormat="1" ht="18.75" spans="1:5">
      <c r="A265" s="8" t="str">
        <f t="shared" si="4"/>
        <v>250001</v>
      </c>
      <c r="B265" s="8" t="str">
        <f>"2561401010805"</f>
        <v>2561401010805</v>
      </c>
      <c r="C265" s="8" t="s">
        <v>7</v>
      </c>
      <c r="D265" s="9">
        <v>0</v>
      </c>
      <c r="E265" s="8">
        <v>196</v>
      </c>
    </row>
    <row r="266" s="3" customFormat="1" ht="18.75" spans="1:5">
      <c r="A266" s="8" t="str">
        <f t="shared" si="4"/>
        <v>250001</v>
      </c>
      <c r="B266" s="8" t="str">
        <f>"2561401010807"</f>
        <v>2561401010807</v>
      </c>
      <c r="C266" s="8" t="s">
        <v>7</v>
      </c>
      <c r="D266" s="9">
        <v>0</v>
      </c>
      <c r="E266" s="8">
        <v>196</v>
      </c>
    </row>
    <row r="267" s="3" customFormat="1" ht="18.75" spans="1:5">
      <c r="A267" s="8" t="str">
        <f t="shared" si="4"/>
        <v>250001</v>
      </c>
      <c r="B267" s="8" t="str">
        <f>"2561401010809"</f>
        <v>2561401010809</v>
      </c>
      <c r="C267" s="8" t="s">
        <v>7</v>
      </c>
      <c r="D267" s="9">
        <v>0</v>
      </c>
      <c r="E267" s="8">
        <v>196</v>
      </c>
    </row>
    <row r="268" s="3" customFormat="1" ht="18.75" spans="1:5">
      <c r="A268" s="8" t="str">
        <f t="shared" si="4"/>
        <v>250001</v>
      </c>
      <c r="B268" s="8" t="str">
        <f>"2561401010811"</f>
        <v>2561401010811</v>
      </c>
      <c r="C268" s="8" t="s">
        <v>7</v>
      </c>
      <c r="D268" s="9">
        <v>0</v>
      </c>
      <c r="E268" s="8">
        <v>196</v>
      </c>
    </row>
    <row r="269" s="3" customFormat="1" ht="18.75" spans="1:5">
      <c r="A269" s="8" t="str">
        <f t="shared" si="4"/>
        <v>250001</v>
      </c>
      <c r="B269" s="8" t="str">
        <f>"2561401010814"</f>
        <v>2561401010814</v>
      </c>
      <c r="C269" s="8" t="s">
        <v>7</v>
      </c>
      <c r="D269" s="9">
        <v>0</v>
      </c>
      <c r="E269" s="8">
        <v>196</v>
      </c>
    </row>
    <row r="270" s="3" customFormat="1" ht="18.75" spans="1:5">
      <c r="A270" s="8" t="str">
        <f t="shared" si="4"/>
        <v>250001</v>
      </c>
      <c r="B270" s="8" t="str">
        <f>"2561401010816"</f>
        <v>2561401010816</v>
      </c>
      <c r="C270" s="8" t="s">
        <v>7</v>
      </c>
      <c r="D270" s="9">
        <v>0</v>
      </c>
      <c r="E270" s="8">
        <v>196</v>
      </c>
    </row>
    <row r="271" s="3" customFormat="1" ht="18.75" spans="1:5">
      <c r="A271" s="8" t="str">
        <f t="shared" si="4"/>
        <v>250001</v>
      </c>
      <c r="B271" s="8" t="str">
        <f>"2561401010817"</f>
        <v>2561401010817</v>
      </c>
      <c r="C271" s="8" t="s">
        <v>7</v>
      </c>
      <c r="D271" s="9">
        <v>0</v>
      </c>
      <c r="E271" s="8">
        <v>196</v>
      </c>
    </row>
    <row r="272" s="3" customFormat="1" ht="18.75" spans="1:5">
      <c r="A272" s="8" t="str">
        <f t="shared" si="4"/>
        <v>250001</v>
      </c>
      <c r="B272" s="8" t="str">
        <f>"2561401010820"</f>
        <v>2561401010820</v>
      </c>
      <c r="C272" s="8" t="s">
        <v>7</v>
      </c>
      <c r="D272" s="9">
        <v>0</v>
      </c>
      <c r="E272" s="8">
        <v>196</v>
      </c>
    </row>
    <row r="273" s="3" customFormat="1" ht="18.75" spans="1:5">
      <c r="A273" s="8" t="str">
        <f t="shared" si="4"/>
        <v>250001</v>
      </c>
      <c r="B273" s="8" t="str">
        <f>"2561401010824"</f>
        <v>2561401010824</v>
      </c>
      <c r="C273" s="8" t="s">
        <v>7</v>
      </c>
      <c r="D273" s="9">
        <v>0</v>
      </c>
      <c r="E273" s="8">
        <v>196</v>
      </c>
    </row>
    <row r="274" s="3" customFormat="1" ht="18.75" spans="1:5">
      <c r="A274" s="8" t="str">
        <f t="shared" si="4"/>
        <v>250001</v>
      </c>
      <c r="B274" s="8" t="str">
        <f>"2561401010826"</f>
        <v>2561401010826</v>
      </c>
      <c r="C274" s="8" t="s">
        <v>7</v>
      </c>
      <c r="D274" s="9">
        <v>0</v>
      </c>
      <c r="E274" s="8">
        <v>196</v>
      </c>
    </row>
    <row r="275" s="3" customFormat="1" ht="18.75" spans="1:5">
      <c r="A275" s="8" t="str">
        <f t="shared" si="4"/>
        <v>250001</v>
      </c>
      <c r="B275" s="8" t="str">
        <f>"2561401010901"</f>
        <v>2561401010901</v>
      </c>
      <c r="C275" s="8" t="s">
        <v>7</v>
      </c>
      <c r="D275" s="9">
        <v>0</v>
      </c>
      <c r="E275" s="8">
        <v>196</v>
      </c>
    </row>
    <row r="276" s="3" customFormat="1" ht="18.75" spans="1:5">
      <c r="A276" s="8" t="str">
        <f t="shared" si="4"/>
        <v>250001</v>
      </c>
      <c r="B276" s="8" t="str">
        <f>"2561401010902"</f>
        <v>2561401010902</v>
      </c>
      <c r="C276" s="8" t="s">
        <v>7</v>
      </c>
      <c r="D276" s="9">
        <v>0</v>
      </c>
      <c r="E276" s="8">
        <v>196</v>
      </c>
    </row>
    <row r="277" s="3" customFormat="1" ht="18.75" spans="1:5">
      <c r="A277" s="8" t="str">
        <f t="shared" si="4"/>
        <v>250001</v>
      </c>
      <c r="B277" s="8" t="str">
        <f>"2561401010904"</f>
        <v>2561401010904</v>
      </c>
      <c r="C277" s="8" t="s">
        <v>7</v>
      </c>
      <c r="D277" s="9">
        <v>0</v>
      </c>
      <c r="E277" s="8">
        <v>196</v>
      </c>
    </row>
    <row r="278" s="3" customFormat="1" ht="18.75" spans="1:5">
      <c r="A278" s="8" t="str">
        <f t="shared" si="4"/>
        <v>250001</v>
      </c>
      <c r="B278" s="8" t="str">
        <f>"2561401010910"</f>
        <v>2561401010910</v>
      </c>
      <c r="C278" s="8" t="s">
        <v>7</v>
      </c>
      <c r="D278" s="9">
        <v>0</v>
      </c>
      <c r="E278" s="8">
        <v>196</v>
      </c>
    </row>
    <row r="279" s="3" customFormat="1" ht="18.75" spans="1:5">
      <c r="A279" s="8" t="str">
        <f t="shared" si="4"/>
        <v>250001</v>
      </c>
      <c r="B279" s="8" t="str">
        <f>"2561401010912"</f>
        <v>2561401010912</v>
      </c>
      <c r="C279" s="8" t="s">
        <v>7</v>
      </c>
      <c r="D279" s="9">
        <v>0</v>
      </c>
      <c r="E279" s="8">
        <v>196</v>
      </c>
    </row>
    <row r="280" s="3" customFormat="1" ht="18.75" spans="1:5">
      <c r="A280" s="8" t="str">
        <f t="shared" si="4"/>
        <v>250001</v>
      </c>
      <c r="B280" s="8" t="str">
        <f>"2561401010915"</f>
        <v>2561401010915</v>
      </c>
      <c r="C280" s="8" t="s">
        <v>7</v>
      </c>
      <c r="D280" s="9">
        <v>0</v>
      </c>
      <c r="E280" s="8">
        <v>196</v>
      </c>
    </row>
    <row r="281" s="3" customFormat="1" ht="18.75" spans="1:5">
      <c r="A281" s="8" t="str">
        <f t="shared" si="4"/>
        <v>250001</v>
      </c>
      <c r="B281" s="8" t="str">
        <f>"2561401010916"</f>
        <v>2561401010916</v>
      </c>
      <c r="C281" s="8" t="s">
        <v>7</v>
      </c>
      <c r="D281" s="9">
        <v>0</v>
      </c>
      <c r="E281" s="8">
        <v>196</v>
      </c>
    </row>
    <row r="282" s="3" customFormat="1" ht="18.75" spans="1:5">
      <c r="A282" s="8" t="str">
        <f t="shared" si="4"/>
        <v>250001</v>
      </c>
      <c r="B282" s="8" t="str">
        <f>"2561401010919"</f>
        <v>2561401010919</v>
      </c>
      <c r="C282" s="8" t="s">
        <v>7</v>
      </c>
      <c r="D282" s="9">
        <v>0</v>
      </c>
      <c r="E282" s="8">
        <v>196</v>
      </c>
    </row>
    <row r="283" s="3" customFormat="1" ht="18.75" spans="1:5">
      <c r="A283" s="8" t="str">
        <f t="shared" si="4"/>
        <v>250001</v>
      </c>
      <c r="B283" s="8" t="str">
        <f>"2561401010920"</f>
        <v>2561401010920</v>
      </c>
      <c r="C283" s="8" t="s">
        <v>7</v>
      </c>
      <c r="D283" s="9">
        <v>0</v>
      </c>
      <c r="E283" s="8">
        <v>196</v>
      </c>
    </row>
    <row r="284" s="3" customFormat="1" ht="18.75" spans="1:5">
      <c r="A284" s="8" t="str">
        <f t="shared" si="4"/>
        <v>250001</v>
      </c>
      <c r="B284" s="8" t="str">
        <f>"2561401010929"</f>
        <v>2561401010929</v>
      </c>
      <c r="C284" s="8" t="s">
        <v>7</v>
      </c>
      <c r="D284" s="9">
        <v>0</v>
      </c>
      <c r="E284" s="8">
        <v>196</v>
      </c>
    </row>
    <row r="285" s="3" customFormat="1" ht="18.75" spans="1:5">
      <c r="A285" s="8" t="str">
        <f t="shared" si="4"/>
        <v>250001</v>
      </c>
      <c r="B285" s="8" t="str">
        <f>"2561401011001"</f>
        <v>2561401011001</v>
      </c>
      <c r="C285" s="8" t="s">
        <v>7</v>
      </c>
      <c r="D285" s="9">
        <v>0</v>
      </c>
      <c r="E285" s="8">
        <v>196</v>
      </c>
    </row>
    <row r="286" s="3" customFormat="1" ht="18.75" spans="1:5">
      <c r="A286" s="8" t="str">
        <f t="shared" si="4"/>
        <v>250001</v>
      </c>
      <c r="B286" s="8" t="str">
        <f>"2561401011002"</f>
        <v>2561401011002</v>
      </c>
      <c r="C286" s="8" t="s">
        <v>7</v>
      </c>
      <c r="D286" s="9">
        <v>0</v>
      </c>
      <c r="E286" s="8">
        <v>196</v>
      </c>
    </row>
    <row r="287" s="3" customFormat="1" ht="18.75" spans="1:5">
      <c r="A287" s="8" t="str">
        <f t="shared" si="4"/>
        <v>250001</v>
      </c>
      <c r="B287" s="8" t="str">
        <f>"2561401011008"</f>
        <v>2561401011008</v>
      </c>
      <c r="C287" s="8" t="s">
        <v>7</v>
      </c>
      <c r="D287" s="9">
        <v>0</v>
      </c>
      <c r="E287" s="8">
        <v>196</v>
      </c>
    </row>
    <row r="288" s="3" customFormat="1" ht="18.75" spans="1:5">
      <c r="A288" s="8" t="str">
        <f t="shared" si="4"/>
        <v>250001</v>
      </c>
      <c r="B288" s="8" t="str">
        <f>"2561401011009"</f>
        <v>2561401011009</v>
      </c>
      <c r="C288" s="8" t="s">
        <v>7</v>
      </c>
      <c r="D288" s="9">
        <v>0</v>
      </c>
      <c r="E288" s="8">
        <v>196</v>
      </c>
    </row>
    <row r="289" s="3" customFormat="1" ht="18.75" spans="1:5">
      <c r="A289" s="8" t="str">
        <f t="shared" si="4"/>
        <v>250001</v>
      </c>
      <c r="B289" s="8" t="str">
        <f>"2561401011010"</f>
        <v>2561401011010</v>
      </c>
      <c r="C289" s="8" t="s">
        <v>7</v>
      </c>
      <c r="D289" s="9">
        <v>0</v>
      </c>
      <c r="E289" s="8">
        <v>196</v>
      </c>
    </row>
    <row r="290" s="3" customFormat="1" ht="18.75" spans="1:5">
      <c r="A290" s="8" t="str">
        <f t="shared" ref="A290:A353" si="5">"250002"</f>
        <v>250002</v>
      </c>
      <c r="B290" s="8" t="str">
        <f>"2561401011203"</f>
        <v>2561401011203</v>
      </c>
      <c r="C290" s="8" t="s">
        <v>7</v>
      </c>
      <c r="D290" s="9">
        <v>66.55</v>
      </c>
      <c r="E290" s="8">
        <v>1</v>
      </c>
    </row>
    <row r="291" s="3" customFormat="1" ht="18.75" spans="1:5">
      <c r="A291" s="8" t="str">
        <f t="shared" si="5"/>
        <v>250002</v>
      </c>
      <c r="B291" s="8" t="str">
        <f>"2561401011123"</f>
        <v>2561401011123</v>
      </c>
      <c r="C291" s="8" t="s">
        <v>7</v>
      </c>
      <c r="D291" s="9">
        <v>65.61</v>
      </c>
      <c r="E291" s="8">
        <v>2</v>
      </c>
    </row>
    <row r="292" s="3" customFormat="1" ht="18.75" spans="1:5">
      <c r="A292" s="8" t="str">
        <f t="shared" si="5"/>
        <v>250002</v>
      </c>
      <c r="B292" s="8" t="str">
        <f>"2561401011213"</f>
        <v>2561401011213</v>
      </c>
      <c r="C292" s="8" t="s">
        <v>7</v>
      </c>
      <c r="D292" s="9">
        <v>65.5</v>
      </c>
      <c r="E292" s="8">
        <v>3</v>
      </c>
    </row>
    <row r="293" s="3" customFormat="1" ht="18.75" spans="1:5">
      <c r="A293" s="8" t="str">
        <f t="shared" si="5"/>
        <v>250002</v>
      </c>
      <c r="B293" s="8" t="str">
        <f>"2561401011028"</f>
        <v>2561401011028</v>
      </c>
      <c r="C293" s="8" t="s">
        <v>7</v>
      </c>
      <c r="D293" s="9">
        <v>64.23</v>
      </c>
      <c r="E293" s="8">
        <v>4</v>
      </c>
    </row>
    <row r="294" s="3" customFormat="1" ht="18.75" spans="1:5">
      <c r="A294" s="8" t="str">
        <f t="shared" si="5"/>
        <v>250002</v>
      </c>
      <c r="B294" s="8" t="str">
        <f>"2561401011216"</f>
        <v>2561401011216</v>
      </c>
      <c r="C294" s="8" t="s">
        <v>7</v>
      </c>
      <c r="D294" s="9">
        <v>64.13</v>
      </c>
      <c r="E294" s="8">
        <v>5</v>
      </c>
    </row>
    <row r="295" s="3" customFormat="1" ht="18.75" spans="1:5">
      <c r="A295" s="8" t="str">
        <f t="shared" si="5"/>
        <v>250002</v>
      </c>
      <c r="B295" s="8" t="str">
        <f>"2561401011108"</f>
        <v>2561401011108</v>
      </c>
      <c r="C295" s="8" t="s">
        <v>7</v>
      </c>
      <c r="D295" s="9">
        <v>63.66</v>
      </c>
      <c r="E295" s="8">
        <v>6</v>
      </c>
    </row>
    <row r="296" s="3" customFormat="1" ht="18.75" spans="1:5">
      <c r="A296" s="8" t="str">
        <f t="shared" si="5"/>
        <v>250002</v>
      </c>
      <c r="B296" s="8" t="str">
        <f>"2561401011018"</f>
        <v>2561401011018</v>
      </c>
      <c r="C296" s="8" t="s">
        <v>7</v>
      </c>
      <c r="D296" s="9">
        <v>63.37</v>
      </c>
      <c r="E296" s="8">
        <v>7</v>
      </c>
    </row>
    <row r="297" s="3" customFormat="1" ht="18.75" spans="1:5">
      <c r="A297" s="8" t="str">
        <f t="shared" si="5"/>
        <v>250002</v>
      </c>
      <c r="B297" s="8" t="str">
        <f>"2561401011118"</f>
        <v>2561401011118</v>
      </c>
      <c r="C297" s="8" t="s">
        <v>7</v>
      </c>
      <c r="D297" s="9">
        <v>62.81</v>
      </c>
      <c r="E297" s="8">
        <v>8</v>
      </c>
    </row>
    <row r="298" s="3" customFormat="1" ht="18.75" spans="1:5">
      <c r="A298" s="8" t="str">
        <f t="shared" si="5"/>
        <v>250002</v>
      </c>
      <c r="B298" s="8" t="str">
        <f>"2561401011223"</f>
        <v>2561401011223</v>
      </c>
      <c r="C298" s="8" t="s">
        <v>7</v>
      </c>
      <c r="D298" s="9">
        <v>62.72</v>
      </c>
      <c r="E298" s="8">
        <v>9</v>
      </c>
    </row>
    <row r="299" s="3" customFormat="1" ht="18.75" spans="1:5">
      <c r="A299" s="8" t="str">
        <f t="shared" si="5"/>
        <v>250002</v>
      </c>
      <c r="B299" s="8" t="str">
        <f>"2561401011106"</f>
        <v>2561401011106</v>
      </c>
      <c r="C299" s="8" t="s">
        <v>7</v>
      </c>
      <c r="D299" s="9">
        <v>62.45</v>
      </c>
      <c r="E299" s="8">
        <v>10</v>
      </c>
    </row>
    <row r="300" s="3" customFormat="1" ht="18.75" spans="1:5">
      <c r="A300" s="8" t="str">
        <f t="shared" si="5"/>
        <v>250002</v>
      </c>
      <c r="B300" s="8" t="str">
        <f>"2561401011025"</f>
        <v>2561401011025</v>
      </c>
      <c r="C300" s="8" t="s">
        <v>7</v>
      </c>
      <c r="D300" s="9">
        <v>62.22</v>
      </c>
      <c r="E300" s="8">
        <v>11</v>
      </c>
    </row>
    <row r="301" s="3" customFormat="1" ht="18.75" spans="1:5">
      <c r="A301" s="8" t="str">
        <f t="shared" si="5"/>
        <v>250002</v>
      </c>
      <c r="B301" s="8" t="str">
        <f>"2561401011227"</f>
        <v>2561401011227</v>
      </c>
      <c r="C301" s="8" t="s">
        <v>7</v>
      </c>
      <c r="D301" s="9">
        <v>61.8</v>
      </c>
      <c r="E301" s="8">
        <v>12</v>
      </c>
    </row>
    <row r="302" s="3" customFormat="1" ht="18.75" spans="1:5">
      <c r="A302" s="8" t="str">
        <f t="shared" si="5"/>
        <v>250002</v>
      </c>
      <c r="B302" s="8" t="str">
        <f>"2561401011204"</f>
        <v>2561401011204</v>
      </c>
      <c r="C302" s="8" t="s">
        <v>7</v>
      </c>
      <c r="D302" s="9">
        <v>61.62</v>
      </c>
      <c r="E302" s="8">
        <v>13</v>
      </c>
    </row>
    <row r="303" s="3" customFormat="1" ht="18.75" spans="1:5">
      <c r="A303" s="8" t="str">
        <f t="shared" si="5"/>
        <v>250002</v>
      </c>
      <c r="B303" s="8" t="str">
        <f>"2561401011121"</f>
        <v>2561401011121</v>
      </c>
      <c r="C303" s="8" t="s">
        <v>7</v>
      </c>
      <c r="D303" s="9">
        <v>60.79</v>
      </c>
      <c r="E303" s="8">
        <v>14</v>
      </c>
    </row>
    <row r="304" s="3" customFormat="1" ht="18.75" spans="1:5">
      <c r="A304" s="8" t="str">
        <f t="shared" si="5"/>
        <v>250002</v>
      </c>
      <c r="B304" s="8" t="str">
        <f>"2561401011109"</f>
        <v>2561401011109</v>
      </c>
      <c r="C304" s="8" t="s">
        <v>7</v>
      </c>
      <c r="D304" s="9">
        <v>60.75</v>
      </c>
      <c r="E304" s="8">
        <v>15</v>
      </c>
    </row>
    <row r="305" s="3" customFormat="1" ht="18.75" spans="1:5">
      <c r="A305" s="8" t="str">
        <f t="shared" si="5"/>
        <v>250002</v>
      </c>
      <c r="B305" s="8" t="str">
        <f>"2561401011113"</f>
        <v>2561401011113</v>
      </c>
      <c r="C305" s="8" t="s">
        <v>7</v>
      </c>
      <c r="D305" s="9">
        <v>60.73</v>
      </c>
      <c r="E305" s="8">
        <v>16</v>
      </c>
    </row>
    <row r="306" s="3" customFormat="1" ht="18.75" spans="1:5">
      <c r="A306" s="8" t="str">
        <f t="shared" si="5"/>
        <v>250002</v>
      </c>
      <c r="B306" s="8" t="str">
        <f>"2561401011102"</f>
        <v>2561401011102</v>
      </c>
      <c r="C306" s="8" t="s">
        <v>7</v>
      </c>
      <c r="D306" s="9">
        <v>60.32</v>
      </c>
      <c r="E306" s="8">
        <v>17</v>
      </c>
    </row>
    <row r="307" s="3" customFormat="1" ht="18.75" spans="1:5">
      <c r="A307" s="8" t="str">
        <f t="shared" si="5"/>
        <v>250002</v>
      </c>
      <c r="B307" s="8" t="str">
        <f>"2561401011224"</f>
        <v>2561401011224</v>
      </c>
      <c r="C307" s="8" t="s">
        <v>7</v>
      </c>
      <c r="D307" s="9">
        <v>60.22</v>
      </c>
      <c r="E307" s="8">
        <v>18</v>
      </c>
    </row>
    <row r="308" s="3" customFormat="1" ht="18.75" spans="1:5">
      <c r="A308" s="8" t="str">
        <f t="shared" si="5"/>
        <v>250002</v>
      </c>
      <c r="B308" s="8" t="str">
        <f>"2561401011117"</f>
        <v>2561401011117</v>
      </c>
      <c r="C308" s="8" t="s">
        <v>7</v>
      </c>
      <c r="D308" s="9">
        <v>60.11</v>
      </c>
      <c r="E308" s="8">
        <v>19</v>
      </c>
    </row>
    <row r="309" s="3" customFormat="1" ht="18.75" spans="1:5">
      <c r="A309" s="8" t="str">
        <f t="shared" si="5"/>
        <v>250002</v>
      </c>
      <c r="B309" s="8" t="str">
        <f>"2561401011209"</f>
        <v>2561401011209</v>
      </c>
      <c r="C309" s="8" t="s">
        <v>7</v>
      </c>
      <c r="D309" s="9">
        <v>59.26</v>
      </c>
      <c r="E309" s="8">
        <v>20</v>
      </c>
    </row>
    <row r="310" s="3" customFormat="1" ht="18.75" spans="1:5">
      <c r="A310" s="8" t="str">
        <f t="shared" si="5"/>
        <v>250002</v>
      </c>
      <c r="B310" s="8" t="str">
        <f>"2561401011111"</f>
        <v>2561401011111</v>
      </c>
      <c r="C310" s="8" t="s">
        <v>7</v>
      </c>
      <c r="D310" s="9">
        <v>58.94</v>
      </c>
      <c r="E310" s="8">
        <v>21</v>
      </c>
    </row>
    <row r="311" s="3" customFormat="1" ht="18.75" spans="1:5">
      <c r="A311" s="8" t="str">
        <f t="shared" si="5"/>
        <v>250002</v>
      </c>
      <c r="B311" s="8" t="str">
        <f>"2561401011110"</f>
        <v>2561401011110</v>
      </c>
      <c r="C311" s="8" t="s">
        <v>7</v>
      </c>
      <c r="D311" s="9">
        <v>58.89</v>
      </c>
      <c r="E311" s="8">
        <v>22</v>
      </c>
    </row>
    <row r="312" s="3" customFormat="1" ht="18.75" spans="1:5">
      <c r="A312" s="8" t="str">
        <f t="shared" si="5"/>
        <v>250002</v>
      </c>
      <c r="B312" s="8" t="str">
        <f>"2561401011120"</f>
        <v>2561401011120</v>
      </c>
      <c r="C312" s="8" t="s">
        <v>7</v>
      </c>
      <c r="D312" s="9">
        <v>58.81</v>
      </c>
      <c r="E312" s="8">
        <v>23</v>
      </c>
    </row>
    <row r="313" s="3" customFormat="1" ht="18.75" spans="1:5">
      <c r="A313" s="8" t="str">
        <f t="shared" si="5"/>
        <v>250002</v>
      </c>
      <c r="B313" s="8" t="str">
        <f>"2561401011116"</f>
        <v>2561401011116</v>
      </c>
      <c r="C313" s="8" t="s">
        <v>7</v>
      </c>
      <c r="D313" s="9">
        <v>58.67</v>
      </c>
      <c r="E313" s="8">
        <v>24</v>
      </c>
    </row>
    <row r="314" s="3" customFormat="1" ht="18.75" spans="1:5">
      <c r="A314" s="8" t="str">
        <f t="shared" si="5"/>
        <v>250002</v>
      </c>
      <c r="B314" s="8" t="str">
        <f>"2561401011104"</f>
        <v>2561401011104</v>
      </c>
      <c r="C314" s="8" t="s">
        <v>7</v>
      </c>
      <c r="D314" s="9">
        <v>58.64</v>
      </c>
      <c r="E314" s="8">
        <v>25</v>
      </c>
    </row>
    <row r="315" s="3" customFormat="1" ht="18.75" spans="1:5">
      <c r="A315" s="8" t="str">
        <f t="shared" si="5"/>
        <v>250002</v>
      </c>
      <c r="B315" s="8" t="str">
        <f>"2561401011127"</f>
        <v>2561401011127</v>
      </c>
      <c r="C315" s="8" t="s">
        <v>7</v>
      </c>
      <c r="D315" s="9">
        <v>58.48</v>
      </c>
      <c r="E315" s="8">
        <v>26</v>
      </c>
    </row>
    <row r="316" s="3" customFormat="1" ht="18.75" spans="1:5">
      <c r="A316" s="8" t="str">
        <f t="shared" si="5"/>
        <v>250002</v>
      </c>
      <c r="B316" s="8" t="str">
        <f>"2561401011219"</f>
        <v>2561401011219</v>
      </c>
      <c r="C316" s="8" t="s">
        <v>7</v>
      </c>
      <c r="D316" s="9">
        <v>58.05</v>
      </c>
      <c r="E316" s="8">
        <v>27</v>
      </c>
    </row>
    <row r="317" s="3" customFormat="1" ht="18.75" spans="1:5">
      <c r="A317" s="8" t="str">
        <f t="shared" si="5"/>
        <v>250002</v>
      </c>
      <c r="B317" s="8" t="str">
        <f>"2561401011026"</f>
        <v>2561401011026</v>
      </c>
      <c r="C317" s="8" t="s">
        <v>7</v>
      </c>
      <c r="D317" s="9">
        <v>57.7</v>
      </c>
      <c r="E317" s="8">
        <v>28</v>
      </c>
    </row>
    <row r="318" s="3" customFormat="1" ht="18.75" spans="1:5">
      <c r="A318" s="8" t="str">
        <f t="shared" si="5"/>
        <v>250002</v>
      </c>
      <c r="B318" s="8" t="str">
        <f>"2561401011208"</f>
        <v>2561401011208</v>
      </c>
      <c r="C318" s="8" t="s">
        <v>7</v>
      </c>
      <c r="D318" s="9">
        <v>57.45</v>
      </c>
      <c r="E318" s="8">
        <v>29</v>
      </c>
    </row>
    <row r="319" s="3" customFormat="1" ht="18.75" spans="1:5">
      <c r="A319" s="8" t="str">
        <f t="shared" si="5"/>
        <v>250002</v>
      </c>
      <c r="B319" s="8" t="str">
        <f>"2561401011112"</f>
        <v>2561401011112</v>
      </c>
      <c r="C319" s="8" t="s">
        <v>7</v>
      </c>
      <c r="D319" s="9">
        <v>57.43</v>
      </c>
      <c r="E319" s="8">
        <v>30</v>
      </c>
    </row>
    <row r="320" s="3" customFormat="1" ht="18.75" spans="1:5">
      <c r="A320" s="8" t="str">
        <f t="shared" si="5"/>
        <v>250002</v>
      </c>
      <c r="B320" s="8" t="str">
        <f>"2561401011221"</f>
        <v>2561401011221</v>
      </c>
      <c r="C320" s="8" t="s">
        <v>7</v>
      </c>
      <c r="D320" s="9">
        <v>57.34</v>
      </c>
      <c r="E320" s="8">
        <v>31</v>
      </c>
    </row>
    <row r="321" s="3" customFormat="1" ht="18.75" spans="1:5">
      <c r="A321" s="8" t="str">
        <f t="shared" si="5"/>
        <v>250002</v>
      </c>
      <c r="B321" s="8" t="str">
        <f>"2561401011128"</f>
        <v>2561401011128</v>
      </c>
      <c r="C321" s="8" t="s">
        <v>7</v>
      </c>
      <c r="D321" s="9">
        <v>57.15</v>
      </c>
      <c r="E321" s="8">
        <v>32</v>
      </c>
    </row>
    <row r="322" s="3" customFormat="1" ht="18.75" spans="1:5">
      <c r="A322" s="8" t="str">
        <f t="shared" si="5"/>
        <v>250002</v>
      </c>
      <c r="B322" s="8" t="str">
        <f>"2561401011305"</f>
        <v>2561401011305</v>
      </c>
      <c r="C322" s="8" t="s">
        <v>7</v>
      </c>
      <c r="D322" s="9">
        <v>56.59</v>
      </c>
      <c r="E322" s="8">
        <v>33</v>
      </c>
    </row>
    <row r="323" s="3" customFormat="1" ht="18.75" spans="1:5">
      <c r="A323" s="8" t="str">
        <f t="shared" si="5"/>
        <v>250002</v>
      </c>
      <c r="B323" s="8" t="str">
        <f>"2561401011222"</f>
        <v>2561401011222</v>
      </c>
      <c r="C323" s="8" t="s">
        <v>7</v>
      </c>
      <c r="D323" s="9">
        <v>56.58</v>
      </c>
      <c r="E323" s="8">
        <v>34</v>
      </c>
    </row>
    <row r="324" s="3" customFormat="1" ht="18.75" spans="1:5">
      <c r="A324" s="8" t="str">
        <f t="shared" si="5"/>
        <v>250002</v>
      </c>
      <c r="B324" s="8" t="str">
        <f>"2561401011220"</f>
        <v>2561401011220</v>
      </c>
      <c r="C324" s="8" t="s">
        <v>7</v>
      </c>
      <c r="D324" s="9">
        <v>56.3</v>
      </c>
      <c r="E324" s="8">
        <v>35</v>
      </c>
    </row>
    <row r="325" s="3" customFormat="1" ht="18.75" spans="1:5">
      <c r="A325" s="8" t="str">
        <f t="shared" si="5"/>
        <v>250002</v>
      </c>
      <c r="B325" s="8" t="str">
        <f>"2561401011212"</f>
        <v>2561401011212</v>
      </c>
      <c r="C325" s="8" t="s">
        <v>7</v>
      </c>
      <c r="D325" s="9">
        <v>55.85</v>
      </c>
      <c r="E325" s="8">
        <v>36</v>
      </c>
    </row>
    <row r="326" s="3" customFormat="1" ht="18.75" spans="1:5">
      <c r="A326" s="8" t="str">
        <f t="shared" si="5"/>
        <v>250002</v>
      </c>
      <c r="B326" s="8" t="str">
        <f>"2561401011020"</f>
        <v>2561401011020</v>
      </c>
      <c r="C326" s="8" t="s">
        <v>7</v>
      </c>
      <c r="D326" s="9">
        <v>55.77</v>
      </c>
      <c r="E326" s="8">
        <v>37</v>
      </c>
    </row>
    <row r="327" s="3" customFormat="1" ht="18.75" spans="1:5">
      <c r="A327" s="8" t="str">
        <f t="shared" si="5"/>
        <v>250002</v>
      </c>
      <c r="B327" s="8" t="str">
        <f>"2561401011124"</f>
        <v>2561401011124</v>
      </c>
      <c r="C327" s="8" t="s">
        <v>7</v>
      </c>
      <c r="D327" s="9">
        <v>55.38</v>
      </c>
      <c r="E327" s="8">
        <v>38</v>
      </c>
    </row>
    <row r="328" s="3" customFormat="1" ht="18.75" spans="1:5">
      <c r="A328" s="8" t="str">
        <f t="shared" si="5"/>
        <v>250002</v>
      </c>
      <c r="B328" s="8" t="str">
        <f>"2561401011302"</f>
        <v>2561401011302</v>
      </c>
      <c r="C328" s="8" t="s">
        <v>7</v>
      </c>
      <c r="D328" s="9">
        <v>54.62</v>
      </c>
      <c r="E328" s="8">
        <v>39</v>
      </c>
    </row>
    <row r="329" s="3" customFormat="1" ht="18.75" spans="1:5">
      <c r="A329" s="8" t="str">
        <f t="shared" si="5"/>
        <v>250002</v>
      </c>
      <c r="B329" s="8" t="str">
        <f>"2561401011023"</f>
        <v>2561401011023</v>
      </c>
      <c r="C329" s="8" t="s">
        <v>7</v>
      </c>
      <c r="D329" s="9">
        <v>54.48</v>
      </c>
      <c r="E329" s="8">
        <v>40</v>
      </c>
    </row>
    <row r="330" s="3" customFormat="1" ht="18.75" spans="1:5">
      <c r="A330" s="8" t="str">
        <f t="shared" si="5"/>
        <v>250002</v>
      </c>
      <c r="B330" s="8" t="str">
        <f>"2561401011130"</f>
        <v>2561401011130</v>
      </c>
      <c r="C330" s="8" t="s">
        <v>7</v>
      </c>
      <c r="D330" s="9">
        <v>54.46</v>
      </c>
      <c r="E330" s="8">
        <v>41</v>
      </c>
    </row>
    <row r="331" s="3" customFormat="1" ht="18.75" spans="1:5">
      <c r="A331" s="8" t="str">
        <f t="shared" si="5"/>
        <v>250002</v>
      </c>
      <c r="B331" s="8" t="str">
        <f>"2561401011205"</f>
        <v>2561401011205</v>
      </c>
      <c r="C331" s="8" t="s">
        <v>7</v>
      </c>
      <c r="D331" s="9">
        <v>53.92</v>
      </c>
      <c r="E331" s="8">
        <v>42</v>
      </c>
    </row>
    <row r="332" s="3" customFormat="1" ht="18.75" spans="1:5">
      <c r="A332" s="8" t="str">
        <f t="shared" si="5"/>
        <v>250002</v>
      </c>
      <c r="B332" s="8" t="str">
        <f>"2561401011229"</f>
        <v>2561401011229</v>
      </c>
      <c r="C332" s="8" t="s">
        <v>7</v>
      </c>
      <c r="D332" s="9">
        <v>53.91</v>
      </c>
      <c r="E332" s="8">
        <v>43</v>
      </c>
    </row>
    <row r="333" s="3" customFormat="1" ht="18.75" spans="1:5">
      <c r="A333" s="8" t="str">
        <f t="shared" si="5"/>
        <v>250002</v>
      </c>
      <c r="B333" s="8" t="str">
        <f>"2561401011125"</f>
        <v>2561401011125</v>
      </c>
      <c r="C333" s="8" t="s">
        <v>7</v>
      </c>
      <c r="D333" s="9">
        <v>53.62</v>
      </c>
      <c r="E333" s="8">
        <v>44</v>
      </c>
    </row>
    <row r="334" s="3" customFormat="1" ht="18.75" spans="1:5">
      <c r="A334" s="8" t="str">
        <f t="shared" si="5"/>
        <v>250002</v>
      </c>
      <c r="B334" s="8" t="str">
        <f>"2561401011119"</f>
        <v>2561401011119</v>
      </c>
      <c r="C334" s="8" t="s">
        <v>7</v>
      </c>
      <c r="D334" s="9">
        <v>53.11</v>
      </c>
      <c r="E334" s="8">
        <v>45</v>
      </c>
    </row>
    <row r="335" s="3" customFormat="1" ht="18.75" spans="1:5">
      <c r="A335" s="8" t="str">
        <f t="shared" si="5"/>
        <v>250002</v>
      </c>
      <c r="B335" s="8" t="str">
        <f>"2561401011107"</f>
        <v>2561401011107</v>
      </c>
      <c r="C335" s="8" t="s">
        <v>7</v>
      </c>
      <c r="D335" s="9">
        <v>53.05</v>
      </c>
      <c r="E335" s="8">
        <v>46</v>
      </c>
    </row>
    <row r="336" s="3" customFormat="1" ht="18.75" spans="1:5">
      <c r="A336" s="8" t="str">
        <f t="shared" si="5"/>
        <v>250002</v>
      </c>
      <c r="B336" s="8" t="str">
        <f>"2561401011225"</f>
        <v>2561401011225</v>
      </c>
      <c r="C336" s="8" t="s">
        <v>7</v>
      </c>
      <c r="D336" s="9">
        <v>52.77</v>
      </c>
      <c r="E336" s="8">
        <v>47</v>
      </c>
    </row>
    <row r="337" s="3" customFormat="1" ht="18.75" spans="1:5">
      <c r="A337" s="8" t="str">
        <f t="shared" si="5"/>
        <v>250002</v>
      </c>
      <c r="B337" s="8" t="str">
        <f>"2561401011207"</f>
        <v>2561401011207</v>
      </c>
      <c r="C337" s="8" t="s">
        <v>7</v>
      </c>
      <c r="D337" s="9">
        <v>52.63</v>
      </c>
      <c r="E337" s="8">
        <v>48</v>
      </c>
    </row>
    <row r="338" s="3" customFormat="1" ht="18.75" spans="1:5">
      <c r="A338" s="8" t="str">
        <f t="shared" si="5"/>
        <v>250002</v>
      </c>
      <c r="B338" s="8" t="str">
        <f>"2561401011210"</f>
        <v>2561401011210</v>
      </c>
      <c r="C338" s="8" t="s">
        <v>7</v>
      </c>
      <c r="D338" s="9">
        <v>52.3</v>
      </c>
      <c r="E338" s="8">
        <v>49</v>
      </c>
    </row>
    <row r="339" s="3" customFormat="1" ht="18.75" spans="1:5">
      <c r="A339" s="8" t="str">
        <f t="shared" si="5"/>
        <v>250002</v>
      </c>
      <c r="B339" s="8" t="str">
        <f>"2561401011126"</f>
        <v>2561401011126</v>
      </c>
      <c r="C339" s="8" t="s">
        <v>7</v>
      </c>
      <c r="D339" s="9">
        <v>52.27</v>
      </c>
      <c r="E339" s="8">
        <v>50</v>
      </c>
    </row>
    <row r="340" s="3" customFormat="1" ht="18.75" spans="1:5">
      <c r="A340" s="8" t="str">
        <f t="shared" si="5"/>
        <v>250002</v>
      </c>
      <c r="B340" s="8" t="str">
        <f>"2561401011030"</f>
        <v>2561401011030</v>
      </c>
      <c r="C340" s="8" t="s">
        <v>7</v>
      </c>
      <c r="D340" s="9">
        <v>51.59</v>
      </c>
      <c r="E340" s="8">
        <v>51</v>
      </c>
    </row>
    <row r="341" s="3" customFormat="1" ht="18.75" spans="1:5">
      <c r="A341" s="8" t="str">
        <f t="shared" si="5"/>
        <v>250002</v>
      </c>
      <c r="B341" s="8" t="str">
        <f>"2561401011105"</f>
        <v>2561401011105</v>
      </c>
      <c r="C341" s="8" t="s">
        <v>7</v>
      </c>
      <c r="D341" s="9">
        <v>50.42</v>
      </c>
      <c r="E341" s="8">
        <v>52</v>
      </c>
    </row>
    <row r="342" s="3" customFormat="1" ht="18.75" spans="1:5">
      <c r="A342" s="8" t="str">
        <f t="shared" si="5"/>
        <v>250002</v>
      </c>
      <c r="B342" s="8" t="str">
        <f>"2561401011024"</f>
        <v>2561401011024</v>
      </c>
      <c r="C342" s="8" t="s">
        <v>7</v>
      </c>
      <c r="D342" s="9">
        <v>50.2</v>
      </c>
      <c r="E342" s="8">
        <v>53</v>
      </c>
    </row>
    <row r="343" s="3" customFormat="1" ht="18.75" spans="1:5">
      <c r="A343" s="8" t="str">
        <f t="shared" si="5"/>
        <v>250002</v>
      </c>
      <c r="B343" s="8" t="str">
        <f>"2561401011021"</f>
        <v>2561401011021</v>
      </c>
      <c r="C343" s="8" t="s">
        <v>7</v>
      </c>
      <c r="D343" s="9">
        <v>50</v>
      </c>
      <c r="E343" s="8">
        <v>54</v>
      </c>
    </row>
    <row r="344" s="3" customFormat="1" ht="18.75" spans="1:5">
      <c r="A344" s="8" t="str">
        <f t="shared" si="5"/>
        <v>250002</v>
      </c>
      <c r="B344" s="8" t="str">
        <f>"2561401011228"</f>
        <v>2561401011228</v>
      </c>
      <c r="C344" s="8" t="s">
        <v>7</v>
      </c>
      <c r="D344" s="9">
        <v>49.95</v>
      </c>
      <c r="E344" s="8">
        <v>55</v>
      </c>
    </row>
    <row r="345" s="3" customFormat="1" ht="18.75" spans="1:5">
      <c r="A345" s="8" t="str">
        <f t="shared" si="5"/>
        <v>250002</v>
      </c>
      <c r="B345" s="8" t="str">
        <f>"2561401011202"</f>
        <v>2561401011202</v>
      </c>
      <c r="C345" s="8" t="s">
        <v>7</v>
      </c>
      <c r="D345" s="9">
        <v>49.93</v>
      </c>
      <c r="E345" s="8">
        <v>56</v>
      </c>
    </row>
    <row r="346" s="3" customFormat="1" ht="18.75" spans="1:5">
      <c r="A346" s="8" t="str">
        <f t="shared" si="5"/>
        <v>250002</v>
      </c>
      <c r="B346" s="8" t="str">
        <f>"2561401011201"</f>
        <v>2561401011201</v>
      </c>
      <c r="C346" s="8" t="s">
        <v>7</v>
      </c>
      <c r="D346" s="9">
        <v>49.76</v>
      </c>
      <c r="E346" s="8">
        <v>57</v>
      </c>
    </row>
    <row r="347" s="3" customFormat="1" ht="18.75" spans="1:5">
      <c r="A347" s="8" t="str">
        <f t="shared" si="5"/>
        <v>250002</v>
      </c>
      <c r="B347" s="8" t="str">
        <f>"2561401011304"</f>
        <v>2561401011304</v>
      </c>
      <c r="C347" s="8" t="s">
        <v>7</v>
      </c>
      <c r="D347" s="9">
        <v>49.2</v>
      </c>
      <c r="E347" s="8">
        <v>58</v>
      </c>
    </row>
    <row r="348" s="3" customFormat="1" ht="18.75" spans="1:5">
      <c r="A348" s="8" t="str">
        <f t="shared" si="5"/>
        <v>250002</v>
      </c>
      <c r="B348" s="8" t="str">
        <f>"2561401011218"</f>
        <v>2561401011218</v>
      </c>
      <c r="C348" s="8" t="s">
        <v>7</v>
      </c>
      <c r="D348" s="9">
        <v>49.15</v>
      </c>
      <c r="E348" s="8">
        <v>59</v>
      </c>
    </row>
    <row r="349" s="3" customFormat="1" ht="18.75" spans="1:5">
      <c r="A349" s="8" t="str">
        <f t="shared" si="5"/>
        <v>250002</v>
      </c>
      <c r="B349" s="8" t="str">
        <f>"2561401011115"</f>
        <v>2561401011115</v>
      </c>
      <c r="C349" s="8" t="s">
        <v>7</v>
      </c>
      <c r="D349" s="9">
        <v>48.54</v>
      </c>
      <c r="E349" s="8">
        <v>60</v>
      </c>
    </row>
    <row r="350" s="3" customFormat="1" ht="18.75" spans="1:5">
      <c r="A350" s="8" t="str">
        <f t="shared" si="5"/>
        <v>250002</v>
      </c>
      <c r="B350" s="8" t="str">
        <f>"2561401011122"</f>
        <v>2561401011122</v>
      </c>
      <c r="C350" s="8" t="s">
        <v>7</v>
      </c>
      <c r="D350" s="9">
        <v>48.48</v>
      </c>
      <c r="E350" s="8">
        <v>61</v>
      </c>
    </row>
    <row r="351" s="3" customFormat="1" ht="18.75" spans="1:5">
      <c r="A351" s="8" t="str">
        <f t="shared" si="5"/>
        <v>250002</v>
      </c>
      <c r="B351" s="8" t="str">
        <f>"2561401011301"</f>
        <v>2561401011301</v>
      </c>
      <c r="C351" s="8" t="s">
        <v>7</v>
      </c>
      <c r="D351" s="9">
        <v>47.75</v>
      </c>
      <c r="E351" s="8">
        <v>62</v>
      </c>
    </row>
    <row r="352" s="3" customFormat="1" ht="18.75" spans="1:5">
      <c r="A352" s="8" t="str">
        <f t="shared" si="5"/>
        <v>250002</v>
      </c>
      <c r="B352" s="8" t="str">
        <f>"2561401011214"</f>
        <v>2561401011214</v>
      </c>
      <c r="C352" s="8" t="s">
        <v>7</v>
      </c>
      <c r="D352" s="9">
        <v>47.12</v>
      </c>
      <c r="E352" s="8">
        <v>63</v>
      </c>
    </row>
    <row r="353" s="3" customFormat="1" ht="18.75" spans="1:5">
      <c r="A353" s="8" t="str">
        <f t="shared" si="5"/>
        <v>250002</v>
      </c>
      <c r="B353" s="8" t="str">
        <f>"2561401011027"</f>
        <v>2561401011027</v>
      </c>
      <c r="C353" s="8" t="s">
        <v>7</v>
      </c>
      <c r="D353" s="9">
        <v>47.11</v>
      </c>
      <c r="E353" s="8">
        <v>64</v>
      </c>
    </row>
    <row r="354" s="3" customFormat="1" ht="18.75" spans="1:5">
      <c r="A354" s="8" t="str">
        <f t="shared" ref="A354:A369" si="6">"250002"</f>
        <v>250002</v>
      </c>
      <c r="B354" s="8" t="str">
        <f>"2561401011103"</f>
        <v>2561401011103</v>
      </c>
      <c r="C354" s="8" t="s">
        <v>7</v>
      </c>
      <c r="D354" s="9">
        <v>46.84</v>
      </c>
      <c r="E354" s="8">
        <v>65</v>
      </c>
    </row>
    <row r="355" s="3" customFormat="1" ht="18.75" spans="1:5">
      <c r="A355" s="8" t="str">
        <f t="shared" si="6"/>
        <v>250002</v>
      </c>
      <c r="B355" s="8" t="str">
        <f>"2561401011303"</f>
        <v>2561401011303</v>
      </c>
      <c r="C355" s="8" t="s">
        <v>7</v>
      </c>
      <c r="D355" s="9">
        <v>45.03</v>
      </c>
      <c r="E355" s="8">
        <v>66</v>
      </c>
    </row>
    <row r="356" s="3" customFormat="1" ht="18.75" spans="1:5">
      <c r="A356" s="8" t="str">
        <f t="shared" si="6"/>
        <v>250002</v>
      </c>
      <c r="B356" s="8" t="str">
        <f>"2561401011019"</f>
        <v>2561401011019</v>
      </c>
      <c r="C356" s="8" t="s">
        <v>7</v>
      </c>
      <c r="D356" s="9">
        <v>44.58</v>
      </c>
      <c r="E356" s="8">
        <v>67</v>
      </c>
    </row>
    <row r="357" s="3" customFormat="1" ht="18.75" spans="1:5">
      <c r="A357" s="8" t="str">
        <f t="shared" si="6"/>
        <v>250002</v>
      </c>
      <c r="B357" s="8" t="str">
        <f>"2561401011114"</f>
        <v>2561401011114</v>
      </c>
      <c r="C357" s="8" t="s">
        <v>7</v>
      </c>
      <c r="D357" s="9">
        <v>44.34</v>
      </c>
      <c r="E357" s="8">
        <v>68</v>
      </c>
    </row>
    <row r="358" s="3" customFormat="1" ht="18.75" spans="1:5">
      <c r="A358" s="8" t="str">
        <f t="shared" si="6"/>
        <v>250002</v>
      </c>
      <c r="B358" s="8" t="str">
        <f>"2561401011226"</f>
        <v>2561401011226</v>
      </c>
      <c r="C358" s="8" t="s">
        <v>7</v>
      </c>
      <c r="D358" s="9">
        <v>41.05</v>
      </c>
      <c r="E358" s="8">
        <v>69</v>
      </c>
    </row>
    <row r="359" s="3" customFormat="1" ht="18.75" spans="1:5">
      <c r="A359" s="8" t="str">
        <f t="shared" si="6"/>
        <v>250002</v>
      </c>
      <c r="B359" s="8" t="str">
        <f>"2561401011306"</f>
        <v>2561401011306</v>
      </c>
      <c r="C359" s="8" t="s">
        <v>7</v>
      </c>
      <c r="D359" s="9">
        <v>37.55</v>
      </c>
      <c r="E359" s="8">
        <v>70</v>
      </c>
    </row>
    <row r="360" s="3" customFormat="1" ht="18.75" spans="1:5">
      <c r="A360" s="8" t="str">
        <f t="shared" si="6"/>
        <v>250002</v>
      </c>
      <c r="B360" s="8" t="str">
        <f>"2561401011211"</f>
        <v>2561401011211</v>
      </c>
      <c r="C360" s="8" t="s">
        <v>7</v>
      </c>
      <c r="D360" s="9">
        <v>35.93</v>
      </c>
      <c r="E360" s="8">
        <v>71</v>
      </c>
    </row>
    <row r="361" s="3" customFormat="1" ht="18.75" spans="1:5">
      <c r="A361" s="8" t="str">
        <f t="shared" si="6"/>
        <v>250002</v>
      </c>
      <c r="B361" s="8" t="str">
        <f>"2561401011017"</f>
        <v>2561401011017</v>
      </c>
      <c r="C361" s="8" t="s">
        <v>7</v>
      </c>
      <c r="D361" s="9">
        <v>30.57</v>
      </c>
      <c r="E361" s="8">
        <v>72</v>
      </c>
    </row>
    <row r="362" s="3" customFormat="1" ht="18.75" spans="1:5">
      <c r="A362" s="8" t="str">
        <f t="shared" si="6"/>
        <v>250002</v>
      </c>
      <c r="B362" s="8" t="str">
        <f>"2561401011029"</f>
        <v>2561401011029</v>
      </c>
      <c r="C362" s="8" t="s">
        <v>7</v>
      </c>
      <c r="D362" s="9">
        <v>30.15</v>
      </c>
      <c r="E362" s="8">
        <v>73</v>
      </c>
    </row>
    <row r="363" s="3" customFormat="1" ht="18.75" spans="1:5">
      <c r="A363" s="8" t="str">
        <f t="shared" si="6"/>
        <v>250002</v>
      </c>
      <c r="B363" s="8" t="str">
        <f>"2561401011022"</f>
        <v>2561401011022</v>
      </c>
      <c r="C363" s="8" t="s">
        <v>7</v>
      </c>
      <c r="D363" s="9">
        <v>0</v>
      </c>
      <c r="E363" s="8">
        <v>74</v>
      </c>
    </row>
    <row r="364" s="3" customFormat="1" ht="18.75" spans="1:5">
      <c r="A364" s="8" t="str">
        <f t="shared" si="6"/>
        <v>250002</v>
      </c>
      <c r="B364" s="8" t="str">
        <f>"2561401011101"</f>
        <v>2561401011101</v>
      </c>
      <c r="C364" s="8" t="s">
        <v>7</v>
      </c>
      <c r="D364" s="9">
        <v>0</v>
      </c>
      <c r="E364" s="8">
        <v>74</v>
      </c>
    </row>
    <row r="365" s="3" customFormat="1" ht="18.75" spans="1:5">
      <c r="A365" s="8" t="str">
        <f t="shared" si="6"/>
        <v>250002</v>
      </c>
      <c r="B365" s="8" t="str">
        <f>"2561401011129"</f>
        <v>2561401011129</v>
      </c>
      <c r="C365" s="8" t="s">
        <v>7</v>
      </c>
      <c r="D365" s="9">
        <v>0</v>
      </c>
      <c r="E365" s="8">
        <v>74</v>
      </c>
    </row>
    <row r="366" s="3" customFormat="1" ht="18.75" spans="1:5">
      <c r="A366" s="8" t="str">
        <f t="shared" si="6"/>
        <v>250002</v>
      </c>
      <c r="B366" s="8" t="str">
        <f>"2561401011206"</f>
        <v>2561401011206</v>
      </c>
      <c r="C366" s="8" t="s">
        <v>7</v>
      </c>
      <c r="D366" s="9">
        <v>0</v>
      </c>
      <c r="E366" s="8">
        <v>74</v>
      </c>
    </row>
    <row r="367" s="3" customFormat="1" ht="18.75" spans="1:5">
      <c r="A367" s="8" t="str">
        <f t="shared" si="6"/>
        <v>250002</v>
      </c>
      <c r="B367" s="8" t="str">
        <f>"2561401011215"</f>
        <v>2561401011215</v>
      </c>
      <c r="C367" s="8" t="s">
        <v>7</v>
      </c>
      <c r="D367" s="9">
        <v>0</v>
      </c>
      <c r="E367" s="8">
        <v>74</v>
      </c>
    </row>
    <row r="368" s="3" customFormat="1" ht="18.75" spans="1:5">
      <c r="A368" s="8" t="str">
        <f t="shared" si="6"/>
        <v>250002</v>
      </c>
      <c r="B368" s="8" t="str">
        <f>"2561401011217"</f>
        <v>2561401011217</v>
      </c>
      <c r="C368" s="8" t="s">
        <v>7</v>
      </c>
      <c r="D368" s="9">
        <v>0</v>
      </c>
      <c r="E368" s="8">
        <v>74</v>
      </c>
    </row>
    <row r="369" s="3" customFormat="1" ht="18.75" spans="1:5">
      <c r="A369" s="8" t="str">
        <f t="shared" si="6"/>
        <v>250002</v>
      </c>
      <c r="B369" s="8" t="str">
        <f>"2561401011230"</f>
        <v>2561401011230</v>
      </c>
      <c r="C369" s="8" t="s">
        <v>7</v>
      </c>
      <c r="D369" s="9">
        <v>0</v>
      </c>
      <c r="E369" s="8">
        <v>74</v>
      </c>
    </row>
    <row r="370" s="3" customFormat="1" ht="18.75" spans="1:5">
      <c r="A370" s="8" t="str">
        <f t="shared" ref="A370:A433" si="7">"250003"</f>
        <v>250003</v>
      </c>
      <c r="B370" s="8" t="str">
        <f>"2561401011601"</f>
        <v>2561401011601</v>
      </c>
      <c r="C370" s="8" t="s">
        <v>7</v>
      </c>
      <c r="D370" s="9">
        <v>71.94</v>
      </c>
      <c r="E370" s="8">
        <v>1</v>
      </c>
    </row>
    <row r="371" s="3" customFormat="1" ht="18.75" spans="1:5">
      <c r="A371" s="8" t="str">
        <f t="shared" si="7"/>
        <v>250003</v>
      </c>
      <c r="B371" s="8" t="str">
        <f>"2561401011727"</f>
        <v>2561401011727</v>
      </c>
      <c r="C371" s="8" t="s">
        <v>7</v>
      </c>
      <c r="D371" s="9">
        <v>71.71</v>
      </c>
      <c r="E371" s="8">
        <v>2</v>
      </c>
    </row>
    <row r="372" s="3" customFormat="1" ht="18.75" spans="1:5">
      <c r="A372" s="8" t="str">
        <f t="shared" si="7"/>
        <v>250003</v>
      </c>
      <c r="B372" s="8" t="str">
        <f>"2561401012413"</f>
        <v>2561401012413</v>
      </c>
      <c r="C372" s="8" t="s">
        <v>7</v>
      </c>
      <c r="D372" s="9">
        <v>71.07</v>
      </c>
      <c r="E372" s="8">
        <v>3</v>
      </c>
    </row>
    <row r="373" s="3" customFormat="1" ht="18.75" spans="1:5">
      <c r="A373" s="8" t="str">
        <f t="shared" si="7"/>
        <v>250003</v>
      </c>
      <c r="B373" s="8" t="str">
        <f>"2561401012502"</f>
        <v>2561401012502</v>
      </c>
      <c r="C373" s="8" t="s">
        <v>7</v>
      </c>
      <c r="D373" s="9">
        <v>70.77</v>
      </c>
      <c r="E373" s="8">
        <v>4</v>
      </c>
    </row>
    <row r="374" s="3" customFormat="1" ht="18.75" spans="1:5">
      <c r="A374" s="8" t="str">
        <f t="shared" si="7"/>
        <v>250003</v>
      </c>
      <c r="B374" s="8" t="str">
        <f>"2561401011903"</f>
        <v>2561401011903</v>
      </c>
      <c r="C374" s="8" t="s">
        <v>7</v>
      </c>
      <c r="D374" s="9">
        <v>70.18</v>
      </c>
      <c r="E374" s="8">
        <v>5</v>
      </c>
    </row>
    <row r="375" s="3" customFormat="1" ht="18.75" spans="1:5">
      <c r="A375" s="8" t="str">
        <f t="shared" si="7"/>
        <v>250003</v>
      </c>
      <c r="B375" s="8" t="str">
        <f>"2561401012729"</f>
        <v>2561401012729</v>
      </c>
      <c r="C375" s="8" t="s">
        <v>7</v>
      </c>
      <c r="D375" s="9">
        <v>69.76</v>
      </c>
      <c r="E375" s="8">
        <v>6</v>
      </c>
    </row>
    <row r="376" s="3" customFormat="1" ht="18.75" spans="1:5">
      <c r="A376" s="8" t="str">
        <f t="shared" si="7"/>
        <v>250003</v>
      </c>
      <c r="B376" s="8" t="str">
        <f>"2561401012027"</f>
        <v>2561401012027</v>
      </c>
      <c r="C376" s="8" t="s">
        <v>7</v>
      </c>
      <c r="D376" s="9">
        <v>69.69</v>
      </c>
      <c r="E376" s="8">
        <v>7</v>
      </c>
    </row>
    <row r="377" s="3" customFormat="1" ht="18.75" spans="1:5">
      <c r="A377" s="8" t="str">
        <f t="shared" si="7"/>
        <v>250003</v>
      </c>
      <c r="B377" s="8" t="str">
        <f>"2561401012128"</f>
        <v>2561401012128</v>
      </c>
      <c r="C377" s="8" t="s">
        <v>7</v>
      </c>
      <c r="D377" s="9">
        <v>68.57</v>
      </c>
      <c r="E377" s="8">
        <v>8</v>
      </c>
    </row>
    <row r="378" s="3" customFormat="1" ht="18.75" spans="1:5">
      <c r="A378" s="8" t="str">
        <f t="shared" si="7"/>
        <v>250003</v>
      </c>
      <c r="B378" s="8" t="str">
        <f>"2561401012009"</f>
        <v>2561401012009</v>
      </c>
      <c r="C378" s="8" t="s">
        <v>7</v>
      </c>
      <c r="D378" s="9">
        <v>68.19</v>
      </c>
      <c r="E378" s="8">
        <v>9</v>
      </c>
    </row>
    <row r="379" s="3" customFormat="1" ht="18.75" spans="1:5">
      <c r="A379" s="8" t="str">
        <f t="shared" si="7"/>
        <v>250003</v>
      </c>
      <c r="B379" s="8" t="str">
        <f>"2561401012015"</f>
        <v>2561401012015</v>
      </c>
      <c r="C379" s="8" t="s">
        <v>7</v>
      </c>
      <c r="D379" s="9">
        <v>68.16</v>
      </c>
      <c r="E379" s="8">
        <v>10</v>
      </c>
    </row>
    <row r="380" s="3" customFormat="1" ht="18.75" spans="1:5">
      <c r="A380" s="8" t="str">
        <f t="shared" si="7"/>
        <v>250003</v>
      </c>
      <c r="B380" s="8" t="str">
        <f>"2561401011626"</f>
        <v>2561401011626</v>
      </c>
      <c r="C380" s="8" t="s">
        <v>7</v>
      </c>
      <c r="D380" s="9">
        <v>68.07</v>
      </c>
      <c r="E380" s="8">
        <v>11</v>
      </c>
    </row>
    <row r="381" s="3" customFormat="1" ht="18.75" spans="1:5">
      <c r="A381" s="8" t="str">
        <f t="shared" si="7"/>
        <v>250003</v>
      </c>
      <c r="B381" s="8" t="str">
        <f>"2561401011614"</f>
        <v>2561401011614</v>
      </c>
      <c r="C381" s="8" t="s">
        <v>7</v>
      </c>
      <c r="D381" s="9">
        <v>67.99</v>
      </c>
      <c r="E381" s="8">
        <v>12</v>
      </c>
    </row>
    <row r="382" s="3" customFormat="1" ht="18.75" spans="1:5">
      <c r="A382" s="8" t="str">
        <f t="shared" si="7"/>
        <v>250003</v>
      </c>
      <c r="B382" s="8" t="str">
        <f>"2561401012730"</f>
        <v>2561401012730</v>
      </c>
      <c r="C382" s="8" t="s">
        <v>7</v>
      </c>
      <c r="D382" s="9">
        <v>67.53</v>
      </c>
      <c r="E382" s="8">
        <v>13</v>
      </c>
    </row>
    <row r="383" s="3" customFormat="1" ht="18.75" spans="1:5">
      <c r="A383" s="8" t="str">
        <f t="shared" si="7"/>
        <v>250003</v>
      </c>
      <c r="B383" s="8" t="str">
        <f>"2561401011323"</f>
        <v>2561401011323</v>
      </c>
      <c r="C383" s="8" t="s">
        <v>7</v>
      </c>
      <c r="D383" s="9">
        <v>67.37</v>
      </c>
      <c r="E383" s="8">
        <v>14</v>
      </c>
    </row>
    <row r="384" s="3" customFormat="1" ht="18.75" spans="1:5">
      <c r="A384" s="8" t="str">
        <f t="shared" si="7"/>
        <v>250003</v>
      </c>
      <c r="B384" s="8" t="str">
        <f>"2561401012001"</f>
        <v>2561401012001</v>
      </c>
      <c r="C384" s="8" t="s">
        <v>7</v>
      </c>
      <c r="D384" s="9">
        <v>67.2</v>
      </c>
      <c r="E384" s="8">
        <v>15</v>
      </c>
    </row>
    <row r="385" s="3" customFormat="1" ht="18.75" spans="1:5">
      <c r="A385" s="8" t="str">
        <f t="shared" si="7"/>
        <v>250003</v>
      </c>
      <c r="B385" s="8" t="str">
        <f>"2561401012621"</f>
        <v>2561401012621</v>
      </c>
      <c r="C385" s="8" t="s">
        <v>7</v>
      </c>
      <c r="D385" s="9">
        <v>67.06</v>
      </c>
      <c r="E385" s="8">
        <v>16</v>
      </c>
    </row>
    <row r="386" s="3" customFormat="1" ht="18.75" spans="1:5">
      <c r="A386" s="8" t="str">
        <f t="shared" si="7"/>
        <v>250003</v>
      </c>
      <c r="B386" s="8" t="str">
        <f>"2561401012510"</f>
        <v>2561401012510</v>
      </c>
      <c r="C386" s="8" t="s">
        <v>7</v>
      </c>
      <c r="D386" s="9">
        <v>66.68</v>
      </c>
      <c r="E386" s="8">
        <v>17</v>
      </c>
    </row>
    <row r="387" s="3" customFormat="1" ht="18.75" spans="1:5">
      <c r="A387" s="8" t="str">
        <f t="shared" si="7"/>
        <v>250003</v>
      </c>
      <c r="B387" s="8" t="str">
        <f>"2561401012420"</f>
        <v>2561401012420</v>
      </c>
      <c r="C387" s="8" t="s">
        <v>7</v>
      </c>
      <c r="D387" s="9">
        <v>66.5</v>
      </c>
      <c r="E387" s="8">
        <v>18</v>
      </c>
    </row>
    <row r="388" s="3" customFormat="1" ht="18.75" spans="1:5">
      <c r="A388" s="8" t="str">
        <f t="shared" si="7"/>
        <v>250003</v>
      </c>
      <c r="B388" s="8" t="str">
        <f>"2561401011728"</f>
        <v>2561401011728</v>
      </c>
      <c r="C388" s="8" t="s">
        <v>7</v>
      </c>
      <c r="D388" s="9">
        <v>66.28</v>
      </c>
      <c r="E388" s="8">
        <v>19</v>
      </c>
    </row>
    <row r="389" s="3" customFormat="1" ht="18.75" spans="1:5">
      <c r="A389" s="8" t="str">
        <f t="shared" si="7"/>
        <v>250003</v>
      </c>
      <c r="B389" s="8" t="str">
        <f>"2561401011720"</f>
        <v>2561401011720</v>
      </c>
      <c r="C389" s="8" t="s">
        <v>7</v>
      </c>
      <c r="D389" s="9">
        <v>66.01</v>
      </c>
      <c r="E389" s="8">
        <v>20</v>
      </c>
    </row>
    <row r="390" s="3" customFormat="1" ht="18.75" spans="1:5">
      <c r="A390" s="8" t="str">
        <f t="shared" si="7"/>
        <v>250003</v>
      </c>
      <c r="B390" s="8" t="str">
        <f>"2561401012628"</f>
        <v>2561401012628</v>
      </c>
      <c r="C390" s="8" t="s">
        <v>7</v>
      </c>
      <c r="D390" s="9">
        <v>65.5</v>
      </c>
      <c r="E390" s="8">
        <v>21</v>
      </c>
    </row>
    <row r="391" s="3" customFormat="1" ht="18.75" spans="1:5">
      <c r="A391" s="8" t="str">
        <f t="shared" si="7"/>
        <v>250003</v>
      </c>
      <c r="B391" s="8" t="str">
        <f>"2561401012116"</f>
        <v>2561401012116</v>
      </c>
      <c r="C391" s="8" t="s">
        <v>7</v>
      </c>
      <c r="D391" s="9">
        <v>65.39</v>
      </c>
      <c r="E391" s="8">
        <v>22</v>
      </c>
    </row>
    <row r="392" s="3" customFormat="1" ht="18.75" spans="1:5">
      <c r="A392" s="8" t="str">
        <f t="shared" si="7"/>
        <v>250003</v>
      </c>
      <c r="B392" s="8" t="str">
        <f>"2561401011528"</f>
        <v>2561401011528</v>
      </c>
      <c r="C392" s="8" t="s">
        <v>7</v>
      </c>
      <c r="D392" s="9">
        <v>65.08</v>
      </c>
      <c r="E392" s="8">
        <v>23</v>
      </c>
    </row>
    <row r="393" s="3" customFormat="1" ht="18.75" spans="1:5">
      <c r="A393" s="8" t="str">
        <f t="shared" si="7"/>
        <v>250003</v>
      </c>
      <c r="B393" s="8" t="str">
        <f>"2561401011424"</f>
        <v>2561401011424</v>
      </c>
      <c r="C393" s="8" t="s">
        <v>7</v>
      </c>
      <c r="D393" s="9">
        <v>65.07</v>
      </c>
      <c r="E393" s="8">
        <v>24</v>
      </c>
    </row>
    <row r="394" s="3" customFormat="1" ht="18.75" spans="1:5">
      <c r="A394" s="8" t="str">
        <f t="shared" si="7"/>
        <v>250003</v>
      </c>
      <c r="B394" s="8" t="str">
        <f>"2561401012608"</f>
        <v>2561401012608</v>
      </c>
      <c r="C394" s="8" t="s">
        <v>7</v>
      </c>
      <c r="D394" s="9">
        <v>65.02</v>
      </c>
      <c r="E394" s="8">
        <v>25</v>
      </c>
    </row>
    <row r="395" s="3" customFormat="1" ht="18.75" spans="1:5">
      <c r="A395" s="8" t="str">
        <f t="shared" si="7"/>
        <v>250003</v>
      </c>
      <c r="B395" s="8" t="str">
        <f>"2561401011909"</f>
        <v>2561401011909</v>
      </c>
      <c r="C395" s="8" t="s">
        <v>7</v>
      </c>
      <c r="D395" s="9">
        <v>64.97</v>
      </c>
      <c r="E395" s="8">
        <v>26</v>
      </c>
    </row>
    <row r="396" s="3" customFormat="1" ht="18.75" spans="1:5">
      <c r="A396" s="8" t="str">
        <f t="shared" si="7"/>
        <v>250003</v>
      </c>
      <c r="B396" s="8" t="str">
        <f>"2561401012109"</f>
        <v>2561401012109</v>
      </c>
      <c r="C396" s="8" t="s">
        <v>7</v>
      </c>
      <c r="D396" s="9">
        <v>64.84</v>
      </c>
      <c r="E396" s="8">
        <v>27</v>
      </c>
    </row>
    <row r="397" s="3" customFormat="1" ht="18.75" spans="1:5">
      <c r="A397" s="8" t="str">
        <f t="shared" si="7"/>
        <v>250003</v>
      </c>
      <c r="B397" s="8" t="str">
        <f>"2561401011418"</f>
        <v>2561401011418</v>
      </c>
      <c r="C397" s="8" t="s">
        <v>7</v>
      </c>
      <c r="D397" s="9">
        <v>64.72</v>
      </c>
      <c r="E397" s="8">
        <v>28</v>
      </c>
    </row>
    <row r="398" s="3" customFormat="1" ht="18.75" spans="1:5">
      <c r="A398" s="8" t="str">
        <f t="shared" si="7"/>
        <v>250003</v>
      </c>
      <c r="B398" s="8" t="str">
        <f>"2561401012327"</f>
        <v>2561401012327</v>
      </c>
      <c r="C398" s="8" t="s">
        <v>7</v>
      </c>
      <c r="D398" s="9">
        <v>64.49</v>
      </c>
      <c r="E398" s="8">
        <v>29</v>
      </c>
    </row>
    <row r="399" s="3" customFormat="1" ht="18.75" spans="1:5">
      <c r="A399" s="8" t="str">
        <f t="shared" si="7"/>
        <v>250003</v>
      </c>
      <c r="B399" s="8" t="str">
        <f>"2561401012411"</f>
        <v>2561401012411</v>
      </c>
      <c r="C399" s="8" t="s">
        <v>7</v>
      </c>
      <c r="D399" s="9">
        <v>64.38</v>
      </c>
      <c r="E399" s="8">
        <v>30</v>
      </c>
    </row>
    <row r="400" s="3" customFormat="1" ht="18.75" spans="1:5">
      <c r="A400" s="8" t="str">
        <f t="shared" si="7"/>
        <v>250003</v>
      </c>
      <c r="B400" s="8" t="str">
        <f>"2561401012127"</f>
        <v>2561401012127</v>
      </c>
      <c r="C400" s="8" t="s">
        <v>7</v>
      </c>
      <c r="D400" s="9">
        <v>64.32</v>
      </c>
      <c r="E400" s="8">
        <v>31</v>
      </c>
    </row>
    <row r="401" s="3" customFormat="1" ht="18.75" spans="1:5">
      <c r="A401" s="8" t="str">
        <f t="shared" si="7"/>
        <v>250003</v>
      </c>
      <c r="B401" s="8" t="str">
        <f>"2561401011627"</f>
        <v>2561401011627</v>
      </c>
      <c r="C401" s="8" t="s">
        <v>7</v>
      </c>
      <c r="D401" s="9">
        <v>64.27</v>
      </c>
      <c r="E401" s="8">
        <v>32</v>
      </c>
    </row>
    <row r="402" s="3" customFormat="1" ht="18.75" spans="1:5">
      <c r="A402" s="8" t="str">
        <f t="shared" si="7"/>
        <v>250003</v>
      </c>
      <c r="B402" s="8" t="str">
        <f>"2561401011718"</f>
        <v>2561401011718</v>
      </c>
      <c r="C402" s="8" t="s">
        <v>7</v>
      </c>
      <c r="D402" s="9">
        <v>64.11</v>
      </c>
      <c r="E402" s="8">
        <v>33</v>
      </c>
    </row>
    <row r="403" s="3" customFormat="1" ht="18.75" spans="1:5">
      <c r="A403" s="8" t="str">
        <f t="shared" si="7"/>
        <v>250003</v>
      </c>
      <c r="B403" s="8" t="str">
        <f>"2561401012416"</f>
        <v>2561401012416</v>
      </c>
      <c r="C403" s="8" t="s">
        <v>7</v>
      </c>
      <c r="D403" s="9">
        <v>63.91</v>
      </c>
      <c r="E403" s="8">
        <v>34</v>
      </c>
    </row>
    <row r="404" s="3" customFormat="1" ht="18.75" spans="1:5">
      <c r="A404" s="8" t="str">
        <f t="shared" si="7"/>
        <v>250003</v>
      </c>
      <c r="B404" s="8" t="str">
        <f>"2561401012025"</f>
        <v>2561401012025</v>
      </c>
      <c r="C404" s="8" t="s">
        <v>7</v>
      </c>
      <c r="D404" s="9">
        <v>63.87</v>
      </c>
      <c r="E404" s="8">
        <v>35</v>
      </c>
    </row>
    <row r="405" s="3" customFormat="1" ht="18.75" spans="1:5">
      <c r="A405" s="8" t="str">
        <f t="shared" si="7"/>
        <v>250003</v>
      </c>
      <c r="B405" s="8" t="str">
        <f>"2561401011412"</f>
        <v>2561401011412</v>
      </c>
      <c r="C405" s="8" t="s">
        <v>7</v>
      </c>
      <c r="D405" s="9">
        <v>63.81</v>
      </c>
      <c r="E405" s="8">
        <v>36</v>
      </c>
    </row>
    <row r="406" s="3" customFormat="1" ht="18.75" spans="1:5">
      <c r="A406" s="8" t="str">
        <f t="shared" si="7"/>
        <v>250003</v>
      </c>
      <c r="B406" s="8" t="str">
        <f>"2561401011821"</f>
        <v>2561401011821</v>
      </c>
      <c r="C406" s="8" t="s">
        <v>7</v>
      </c>
      <c r="D406" s="9">
        <v>63.8</v>
      </c>
      <c r="E406" s="8">
        <v>37</v>
      </c>
    </row>
    <row r="407" s="3" customFormat="1" ht="18.75" spans="1:5">
      <c r="A407" s="8" t="str">
        <f t="shared" si="7"/>
        <v>250003</v>
      </c>
      <c r="B407" s="8" t="str">
        <f>"2561401011717"</f>
        <v>2561401011717</v>
      </c>
      <c r="C407" s="8" t="s">
        <v>7</v>
      </c>
      <c r="D407" s="9">
        <v>63.75</v>
      </c>
      <c r="E407" s="8">
        <v>38</v>
      </c>
    </row>
    <row r="408" s="3" customFormat="1" ht="18.75" spans="1:5">
      <c r="A408" s="8" t="str">
        <f t="shared" si="7"/>
        <v>250003</v>
      </c>
      <c r="B408" s="8" t="str">
        <f>"2561401012529"</f>
        <v>2561401012529</v>
      </c>
      <c r="C408" s="8" t="s">
        <v>7</v>
      </c>
      <c r="D408" s="9">
        <v>63.51</v>
      </c>
      <c r="E408" s="8">
        <v>39</v>
      </c>
    </row>
    <row r="409" s="3" customFormat="1" ht="18.75" spans="1:5">
      <c r="A409" s="8" t="str">
        <f t="shared" si="7"/>
        <v>250003</v>
      </c>
      <c r="B409" s="8" t="str">
        <f>"2561401012318"</f>
        <v>2561401012318</v>
      </c>
      <c r="C409" s="8" t="s">
        <v>7</v>
      </c>
      <c r="D409" s="9">
        <v>63.27</v>
      </c>
      <c r="E409" s="8">
        <v>40</v>
      </c>
    </row>
    <row r="410" s="3" customFormat="1" ht="18.75" spans="1:5">
      <c r="A410" s="8" t="str">
        <f t="shared" si="7"/>
        <v>250003</v>
      </c>
      <c r="B410" s="8" t="str">
        <f>"2561401012725"</f>
        <v>2561401012725</v>
      </c>
      <c r="C410" s="8" t="s">
        <v>7</v>
      </c>
      <c r="D410" s="9">
        <v>63.19</v>
      </c>
      <c r="E410" s="8">
        <v>41</v>
      </c>
    </row>
    <row r="411" s="3" customFormat="1" ht="18.75" spans="1:5">
      <c r="A411" s="8" t="str">
        <f t="shared" si="7"/>
        <v>250003</v>
      </c>
      <c r="B411" s="8" t="str">
        <f>"2561401011703"</f>
        <v>2561401011703</v>
      </c>
      <c r="C411" s="8" t="s">
        <v>7</v>
      </c>
      <c r="D411" s="9">
        <v>63.02</v>
      </c>
      <c r="E411" s="8">
        <v>42</v>
      </c>
    </row>
    <row r="412" s="3" customFormat="1" ht="18.75" spans="1:5">
      <c r="A412" s="8" t="str">
        <f t="shared" si="7"/>
        <v>250003</v>
      </c>
      <c r="B412" s="8" t="str">
        <f>"2561401012509"</f>
        <v>2561401012509</v>
      </c>
      <c r="C412" s="8" t="s">
        <v>7</v>
      </c>
      <c r="D412" s="9">
        <v>62.69</v>
      </c>
      <c r="E412" s="8">
        <v>43</v>
      </c>
    </row>
    <row r="413" s="3" customFormat="1" ht="18.75" spans="1:5">
      <c r="A413" s="8" t="str">
        <f t="shared" si="7"/>
        <v>250003</v>
      </c>
      <c r="B413" s="8" t="str">
        <f>"2561401012620"</f>
        <v>2561401012620</v>
      </c>
      <c r="C413" s="8" t="s">
        <v>7</v>
      </c>
      <c r="D413" s="9">
        <v>62.66</v>
      </c>
      <c r="E413" s="8">
        <v>44</v>
      </c>
    </row>
    <row r="414" s="3" customFormat="1" ht="18.75" spans="1:5">
      <c r="A414" s="8" t="str">
        <f t="shared" si="7"/>
        <v>250003</v>
      </c>
      <c r="B414" s="8" t="str">
        <f>"2561401011508"</f>
        <v>2561401011508</v>
      </c>
      <c r="C414" s="8" t="s">
        <v>7</v>
      </c>
      <c r="D414" s="9">
        <v>62.64</v>
      </c>
      <c r="E414" s="8">
        <v>45</v>
      </c>
    </row>
    <row r="415" s="3" customFormat="1" ht="18.75" spans="1:5">
      <c r="A415" s="8" t="str">
        <f t="shared" si="7"/>
        <v>250003</v>
      </c>
      <c r="B415" s="8" t="str">
        <f>"2561401012007"</f>
        <v>2561401012007</v>
      </c>
      <c r="C415" s="8" t="s">
        <v>7</v>
      </c>
      <c r="D415" s="9">
        <v>62.6</v>
      </c>
      <c r="E415" s="8">
        <v>46</v>
      </c>
    </row>
    <row r="416" s="3" customFormat="1" ht="18.75" spans="1:5">
      <c r="A416" s="8" t="str">
        <f t="shared" si="7"/>
        <v>250003</v>
      </c>
      <c r="B416" s="8" t="str">
        <f>"2561401012702"</f>
        <v>2561401012702</v>
      </c>
      <c r="C416" s="8" t="s">
        <v>7</v>
      </c>
      <c r="D416" s="9">
        <v>62.53</v>
      </c>
      <c r="E416" s="8">
        <v>47</v>
      </c>
    </row>
    <row r="417" s="3" customFormat="1" ht="18.75" spans="1:5">
      <c r="A417" s="8" t="str">
        <f t="shared" si="7"/>
        <v>250003</v>
      </c>
      <c r="B417" s="8" t="str">
        <f>"2561401012308"</f>
        <v>2561401012308</v>
      </c>
      <c r="C417" s="8" t="s">
        <v>7</v>
      </c>
      <c r="D417" s="9">
        <v>62.49</v>
      </c>
      <c r="E417" s="8">
        <v>48</v>
      </c>
    </row>
    <row r="418" s="3" customFormat="1" ht="18.75" spans="1:5">
      <c r="A418" s="8" t="str">
        <f t="shared" si="7"/>
        <v>250003</v>
      </c>
      <c r="B418" s="8" t="str">
        <f>"2561401011712"</f>
        <v>2561401011712</v>
      </c>
      <c r="C418" s="8" t="s">
        <v>7</v>
      </c>
      <c r="D418" s="9">
        <v>62.48</v>
      </c>
      <c r="E418" s="8">
        <v>49</v>
      </c>
    </row>
    <row r="419" s="3" customFormat="1" ht="18.75" spans="1:5">
      <c r="A419" s="8" t="str">
        <f t="shared" si="7"/>
        <v>250003</v>
      </c>
      <c r="B419" s="8" t="str">
        <f>"2561401011330"</f>
        <v>2561401011330</v>
      </c>
      <c r="C419" s="8" t="s">
        <v>7</v>
      </c>
      <c r="D419" s="9">
        <v>62.45</v>
      </c>
      <c r="E419" s="8">
        <v>50</v>
      </c>
    </row>
    <row r="420" s="3" customFormat="1" ht="18.75" spans="1:5">
      <c r="A420" s="8" t="str">
        <f t="shared" si="7"/>
        <v>250003</v>
      </c>
      <c r="B420" s="8" t="str">
        <f>"2561401011819"</f>
        <v>2561401011819</v>
      </c>
      <c r="C420" s="8" t="s">
        <v>7</v>
      </c>
      <c r="D420" s="9">
        <v>62.44</v>
      </c>
      <c r="E420" s="8">
        <v>51</v>
      </c>
    </row>
    <row r="421" s="3" customFormat="1" ht="18.75" spans="1:5">
      <c r="A421" s="8" t="str">
        <f t="shared" si="7"/>
        <v>250003</v>
      </c>
      <c r="B421" s="8" t="str">
        <f>"2561401012503"</f>
        <v>2561401012503</v>
      </c>
      <c r="C421" s="8" t="s">
        <v>7</v>
      </c>
      <c r="D421" s="9">
        <v>62.41</v>
      </c>
      <c r="E421" s="8">
        <v>52</v>
      </c>
    </row>
    <row r="422" s="3" customFormat="1" ht="18.75" spans="1:5">
      <c r="A422" s="8" t="str">
        <f t="shared" si="7"/>
        <v>250003</v>
      </c>
      <c r="B422" s="8" t="str">
        <f>"2561401011509"</f>
        <v>2561401011509</v>
      </c>
      <c r="C422" s="8" t="s">
        <v>7</v>
      </c>
      <c r="D422" s="9">
        <v>62.38</v>
      </c>
      <c r="E422" s="8">
        <v>53</v>
      </c>
    </row>
    <row r="423" s="3" customFormat="1" ht="18.75" spans="1:5">
      <c r="A423" s="8" t="str">
        <f t="shared" si="7"/>
        <v>250003</v>
      </c>
      <c r="B423" s="8" t="str">
        <f>"2561401012329"</f>
        <v>2561401012329</v>
      </c>
      <c r="C423" s="8" t="s">
        <v>7</v>
      </c>
      <c r="D423" s="9">
        <v>62.32</v>
      </c>
      <c r="E423" s="8">
        <v>54</v>
      </c>
    </row>
    <row r="424" s="3" customFormat="1" ht="18.75" spans="1:5">
      <c r="A424" s="8" t="str">
        <f t="shared" si="7"/>
        <v>250003</v>
      </c>
      <c r="B424" s="8" t="str">
        <f>"2561401012324"</f>
        <v>2561401012324</v>
      </c>
      <c r="C424" s="8" t="s">
        <v>7</v>
      </c>
      <c r="D424" s="9">
        <v>61.71</v>
      </c>
      <c r="E424" s="8">
        <v>55</v>
      </c>
    </row>
    <row r="425" s="3" customFormat="1" ht="18.75" spans="1:5">
      <c r="A425" s="8" t="str">
        <f t="shared" si="7"/>
        <v>250003</v>
      </c>
      <c r="B425" s="8" t="str">
        <f>"2561401011713"</f>
        <v>2561401011713</v>
      </c>
      <c r="C425" s="8" t="s">
        <v>7</v>
      </c>
      <c r="D425" s="9">
        <v>61.69</v>
      </c>
      <c r="E425" s="8">
        <v>56</v>
      </c>
    </row>
    <row r="426" s="3" customFormat="1" ht="18.75" spans="1:5">
      <c r="A426" s="8" t="str">
        <f t="shared" si="7"/>
        <v>250003</v>
      </c>
      <c r="B426" s="8" t="str">
        <f>"2561401012011"</f>
        <v>2561401012011</v>
      </c>
      <c r="C426" s="8" t="s">
        <v>7</v>
      </c>
      <c r="D426" s="9">
        <v>61.69</v>
      </c>
      <c r="E426" s="8">
        <v>56</v>
      </c>
    </row>
    <row r="427" s="3" customFormat="1" ht="18.75" spans="1:5">
      <c r="A427" s="8" t="str">
        <f t="shared" si="7"/>
        <v>250003</v>
      </c>
      <c r="B427" s="8" t="str">
        <f>"2561401011701"</f>
        <v>2561401011701</v>
      </c>
      <c r="C427" s="8" t="s">
        <v>7</v>
      </c>
      <c r="D427" s="9">
        <v>61.64</v>
      </c>
      <c r="E427" s="8">
        <v>58</v>
      </c>
    </row>
    <row r="428" s="3" customFormat="1" ht="18.75" spans="1:5">
      <c r="A428" s="8" t="str">
        <f t="shared" si="7"/>
        <v>250003</v>
      </c>
      <c r="B428" s="8" t="str">
        <f>"2561401012428"</f>
        <v>2561401012428</v>
      </c>
      <c r="C428" s="8" t="s">
        <v>7</v>
      </c>
      <c r="D428" s="9">
        <v>61.59</v>
      </c>
      <c r="E428" s="8">
        <v>59</v>
      </c>
    </row>
    <row r="429" s="3" customFormat="1" ht="18.75" spans="1:5">
      <c r="A429" s="8" t="str">
        <f t="shared" si="7"/>
        <v>250003</v>
      </c>
      <c r="B429" s="8" t="str">
        <f>"2561401011313"</f>
        <v>2561401011313</v>
      </c>
      <c r="C429" s="8" t="s">
        <v>7</v>
      </c>
      <c r="D429" s="9">
        <v>61.47</v>
      </c>
      <c r="E429" s="8">
        <v>60</v>
      </c>
    </row>
    <row r="430" s="3" customFormat="1" ht="18.75" spans="1:5">
      <c r="A430" s="8" t="str">
        <f t="shared" si="7"/>
        <v>250003</v>
      </c>
      <c r="B430" s="8" t="str">
        <f>"2561401011315"</f>
        <v>2561401011315</v>
      </c>
      <c r="C430" s="8" t="s">
        <v>7</v>
      </c>
      <c r="D430" s="9">
        <v>61.47</v>
      </c>
      <c r="E430" s="8">
        <v>60</v>
      </c>
    </row>
    <row r="431" s="3" customFormat="1" ht="18.75" spans="1:5">
      <c r="A431" s="8" t="str">
        <f t="shared" si="7"/>
        <v>250003</v>
      </c>
      <c r="B431" s="8" t="str">
        <f>"2561401012305"</f>
        <v>2561401012305</v>
      </c>
      <c r="C431" s="8" t="s">
        <v>7</v>
      </c>
      <c r="D431" s="9">
        <v>61.44</v>
      </c>
      <c r="E431" s="8">
        <v>62</v>
      </c>
    </row>
    <row r="432" s="3" customFormat="1" ht="18.75" spans="1:5">
      <c r="A432" s="8" t="str">
        <f t="shared" si="7"/>
        <v>250003</v>
      </c>
      <c r="B432" s="8" t="str">
        <f>"2561401011709"</f>
        <v>2561401011709</v>
      </c>
      <c r="C432" s="8" t="s">
        <v>7</v>
      </c>
      <c r="D432" s="9">
        <v>61.38</v>
      </c>
      <c r="E432" s="8">
        <v>63</v>
      </c>
    </row>
    <row r="433" s="3" customFormat="1" ht="18.75" spans="1:5">
      <c r="A433" s="8" t="str">
        <f t="shared" si="7"/>
        <v>250003</v>
      </c>
      <c r="B433" s="8" t="str">
        <f>"2561401011910"</f>
        <v>2561401011910</v>
      </c>
      <c r="C433" s="8" t="s">
        <v>7</v>
      </c>
      <c r="D433" s="9">
        <v>61.25</v>
      </c>
      <c r="E433" s="8">
        <v>64</v>
      </c>
    </row>
    <row r="434" s="3" customFormat="1" ht="18.75" spans="1:5">
      <c r="A434" s="8" t="str">
        <f t="shared" ref="A434:A497" si="8">"250003"</f>
        <v>250003</v>
      </c>
      <c r="B434" s="8" t="str">
        <f>"2561401011729"</f>
        <v>2561401011729</v>
      </c>
      <c r="C434" s="8" t="s">
        <v>7</v>
      </c>
      <c r="D434" s="9">
        <v>61.12</v>
      </c>
      <c r="E434" s="8">
        <v>65</v>
      </c>
    </row>
    <row r="435" s="3" customFormat="1" ht="18.75" spans="1:5">
      <c r="A435" s="8" t="str">
        <f t="shared" si="8"/>
        <v>250003</v>
      </c>
      <c r="B435" s="8" t="str">
        <f>"2561401011824"</f>
        <v>2561401011824</v>
      </c>
      <c r="C435" s="8" t="s">
        <v>7</v>
      </c>
      <c r="D435" s="9">
        <v>61.09</v>
      </c>
      <c r="E435" s="8">
        <v>66</v>
      </c>
    </row>
    <row r="436" s="3" customFormat="1" ht="18.75" spans="1:5">
      <c r="A436" s="8" t="str">
        <f t="shared" si="8"/>
        <v>250003</v>
      </c>
      <c r="B436" s="8" t="str">
        <f>"2561401012003"</f>
        <v>2561401012003</v>
      </c>
      <c r="C436" s="8" t="s">
        <v>7</v>
      </c>
      <c r="D436" s="9">
        <v>61.05</v>
      </c>
      <c r="E436" s="8">
        <v>67</v>
      </c>
    </row>
    <row r="437" s="3" customFormat="1" ht="18.75" spans="1:5">
      <c r="A437" s="8" t="str">
        <f t="shared" si="8"/>
        <v>250003</v>
      </c>
      <c r="B437" s="8" t="str">
        <f>"2561401012712"</f>
        <v>2561401012712</v>
      </c>
      <c r="C437" s="8" t="s">
        <v>7</v>
      </c>
      <c r="D437" s="9">
        <v>60.9</v>
      </c>
      <c r="E437" s="8">
        <v>68</v>
      </c>
    </row>
    <row r="438" s="3" customFormat="1" ht="18.75" spans="1:5">
      <c r="A438" s="8" t="str">
        <f t="shared" si="8"/>
        <v>250003</v>
      </c>
      <c r="B438" s="8" t="str">
        <f>"2561401011510"</f>
        <v>2561401011510</v>
      </c>
      <c r="C438" s="8" t="s">
        <v>7</v>
      </c>
      <c r="D438" s="9">
        <v>60.74</v>
      </c>
      <c r="E438" s="8">
        <v>69</v>
      </c>
    </row>
    <row r="439" s="3" customFormat="1" ht="18.75" spans="1:5">
      <c r="A439" s="8" t="str">
        <f t="shared" si="8"/>
        <v>250003</v>
      </c>
      <c r="B439" s="8" t="str">
        <f>"2561401012006"</f>
        <v>2561401012006</v>
      </c>
      <c r="C439" s="8" t="s">
        <v>7</v>
      </c>
      <c r="D439" s="9">
        <v>60.71</v>
      </c>
      <c r="E439" s="8">
        <v>70</v>
      </c>
    </row>
    <row r="440" s="3" customFormat="1" ht="18.75" spans="1:5">
      <c r="A440" s="8" t="str">
        <f t="shared" si="8"/>
        <v>250003</v>
      </c>
      <c r="B440" s="8" t="str">
        <f>"2561401012303"</f>
        <v>2561401012303</v>
      </c>
      <c r="C440" s="8" t="s">
        <v>7</v>
      </c>
      <c r="D440" s="9">
        <v>60.66</v>
      </c>
      <c r="E440" s="8">
        <v>71</v>
      </c>
    </row>
    <row r="441" s="3" customFormat="1" ht="18.75" spans="1:5">
      <c r="A441" s="8" t="str">
        <f t="shared" si="8"/>
        <v>250003</v>
      </c>
      <c r="B441" s="8" t="str">
        <f>"2561401011726"</f>
        <v>2561401011726</v>
      </c>
      <c r="C441" s="8" t="s">
        <v>7</v>
      </c>
      <c r="D441" s="9">
        <v>60.61</v>
      </c>
      <c r="E441" s="8">
        <v>72</v>
      </c>
    </row>
    <row r="442" s="3" customFormat="1" ht="18.75" spans="1:5">
      <c r="A442" s="8" t="str">
        <f t="shared" si="8"/>
        <v>250003</v>
      </c>
      <c r="B442" s="8" t="str">
        <f>"2561401011308"</f>
        <v>2561401011308</v>
      </c>
      <c r="C442" s="8" t="s">
        <v>7</v>
      </c>
      <c r="D442" s="9">
        <v>60.56</v>
      </c>
      <c r="E442" s="8">
        <v>73</v>
      </c>
    </row>
    <row r="443" s="3" customFormat="1" ht="18.75" spans="1:5">
      <c r="A443" s="8" t="str">
        <f t="shared" si="8"/>
        <v>250003</v>
      </c>
      <c r="B443" s="8" t="str">
        <f>"2561401011807"</f>
        <v>2561401011807</v>
      </c>
      <c r="C443" s="8" t="s">
        <v>7</v>
      </c>
      <c r="D443" s="9">
        <v>60.39</v>
      </c>
      <c r="E443" s="8">
        <v>74</v>
      </c>
    </row>
    <row r="444" s="3" customFormat="1" ht="18.75" spans="1:5">
      <c r="A444" s="8" t="str">
        <f t="shared" si="8"/>
        <v>250003</v>
      </c>
      <c r="B444" s="8" t="str">
        <f>"2561401012610"</f>
        <v>2561401012610</v>
      </c>
      <c r="C444" s="8" t="s">
        <v>7</v>
      </c>
      <c r="D444" s="9">
        <v>60.34</v>
      </c>
      <c r="E444" s="8">
        <v>75</v>
      </c>
    </row>
    <row r="445" s="3" customFormat="1" ht="18.75" spans="1:5">
      <c r="A445" s="8" t="str">
        <f t="shared" si="8"/>
        <v>250003</v>
      </c>
      <c r="B445" s="8" t="str">
        <f>"2561401011808"</f>
        <v>2561401011808</v>
      </c>
      <c r="C445" s="8" t="s">
        <v>7</v>
      </c>
      <c r="D445" s="9">
        <v>60.32</v>
      </c>
      <c r="E445" s="8">
        <v>76</v>
      </c>
    </row>
    <row r="446" s="3" customFormat="1" ht="18.75" spans="1:5">
      <c r="A446" s="8" t="str">
        <f t="shared" si="8"/>
        <v>250003</v>
      </c>
      <c r="B446" s="8" t="str">
        <f>"2561401011630"</f>
        <v>2561401011630</v>
      </c>
      <c r="C446" s="8" t="s">
        <v>7</v>
      </c>
      <c r="D446" s="9">
        <v>60.24</v>
      </c>
      <c r="E446" s="8">
        <v>77</v>
      </c>
    </row>
    <row r="447" s="3" customFormat="1" ht="18.75" spans="1:5">
      <c r="A447" s="8" t="str">
        <f t="shared" si="8"/>
        <v>250003</v>
      </c>
      <c r="B447" s="8" t="str">
        <f>"2561401012710"</f>
        <v>2561401012710</v>
      </c>
      <c r="C447" s="8" t="s">
        <v>7</v>
      </c>
      <c r="D447" s="9">
        <v>60.15</v>
      </c>
      <c r="E447" s="8">
        <v>78</v>
      </c>
    </row>
    <row r="448" s="3" customFormat="1" ht="18.75" spans="1:5">
      <c r="A448" s="8" t="str">
        <f t="shared" si="8"/>
        <v>250003</v>
      </c>
      <c r="B448" s="8" t="str">
        <f>"2561401011425"</f>
        <v>2561401011425</v>
      </c>
      <c r="C448" s="8" t="s">
        <v>7</v>
      </c>
      <c r="D448" s="9">
        <v>60.05</v>
      </c>
      <c r="E448" s="8">
        <v>79</v>
      </c>
    </row>
    <row r="449" s="3" customFormat="1" ht="18.75" spans="1:5">
      <c r="A449" s="8" t="str">
        <f t="shared" si="8"/>
        <v>250003</v>
      </c>
      <c r="B449" s="8" t="str">
        <f>"2561401011422"</f>
        <v>2561401011422</v>
      </c>
      <c r="C449" s="8" t="s">
        <v>7</v>
      </c>
      <c r="D449" s="9">
        <v>60.03</v>
      </c>
      <c r="E449" s="8">
        <v>80</v>
      </c>
    </row>
    <row r="450" s="3" customFormat="1" ht="18.75" spans="1:5">
      <c r="A450" s="8" t="str">
        <f t="shared" si="8"/>
        <v>250003</v>
      </c>
      <c r="B450" s="8" t="str">
        <f>"2561401012417"</f>
        <v>2561401012417</v>
      </c>
      <c r="C450" s="8" t="s">
        <v>7</v>
      </c>
      <c r="D450" s="9">
        <v>60.01</v>
      </c>
      <c r="E450" s="8">
        <v>81</v>
      </c>
    </row>
    <row r="451" s="3" customFormat="1" ht="18.75" spans="1:5">
      <c r="A451" s="8" t="str">
        <f t="shared" si="8"/>
        <v>250003</v>
      </c>
      <c r="B451" s="8" t="str">
        <f>"2561401012501"</f>
        <v>2561401012501</v>
      </c>
      <c r="C451" s="8" t="s">
        <v>7</v>
      </c>
      <c r="D451" s="9">
        <v>59.91</v>
      </c>
      <c r="E451" s="8">
        <v>82</v>
      </c>
    </row>
    <row r="452" s="3" customFormat="1" ht="18.75" spans="1:5">
      <c r="A452" s="8" t="str">
        <f t="shared" si="8"/>
        <v>250003</v>
      </c>
      <c r="B452" s="8" t="str">
        <f>"2561401011408"</f>
        <v>2561401011408</v>
      </c>
      <c r="C452" s="8" t="s">
        <v>7</v>
      </c>
      <c r="D452" s="9">
        <v>59.89</v>
      </c>
      <c r="E452" s="8">
        <v>83</v>
      </c>
    </row>
    <row r="453" s="3" customFormat="1" ht="18.75" spans="1:5">
      <c r="A453" s="8" t="str">
        <f t="shared" si="8"/>
        <v>250003</v>
      </c>
      <c r="B453" s="8" t="str">
        <f>"2561401012705"</f>
        <v>2561401012705</v>
      </c>
      <c r="C453" s="8" t="s">
        <v>7</v>
      </c>
      <c r="D453" s="9">
        <v>59.89</v>
      </c>
      <c r="E453" s="8">
        <v>83</v>
      </c>
    </row>
    <row r="454" s="3" customFormat="1" ht="18.75" spans="1:5">
      <c r="A454" s="8" t="str">
        <f t="shared" si="8"/>
        <v>250003</v>
      </c>
      <c r="B454" s="8" t="str">
        <f>"2561401011922"</f>
        <v>2561401011922</v>
      </c>
      <c r="C454" s="8" t="s">
        <v>7</v>
      </c>
      <c r="D454" s="9">
        <v>59.72</v>
      </c>
      <c r="E454" s="8">
        <v>85</v>
      </c>
    </row>
    <row r="455" s="3" customFormat="1" ht="18.75" spans="1:5">
      <c r="A455" s="8" t="str">
        <f t="shared" si="8"/>
        <v>250003</v>
      </c>
      <c r="B455" s="8" t="str">
        <f>"2561401012227"</f>
        <v>2561401012227</v>
      </c>
      <c r="C455" s="8" t="s">
        <v>7</v>
      </c>
      <c r="D455" s="9">
        <v>59.67</v>
      </c>
      <c r="E455" s="8">
        <v>86</v>
      </c>
    </row>
    <row r="456" s="3" customFormat="1" ht="18.75" spans="1:5">
      <c r="A456" s="8" t="str">
        <f t="shared" si="8"/>
        <v>250003</v>
      </c>
      <c r="B456" s="8" t="str">
        <f>"2561401012616"</f>
        <v>2561401012616</v>
      </c>
      <c r="C456" s="8" t="s">
        <v>7</v>
      </c>
      <c r="D456" s="9">
        <v>59.58</v>
      </c>
      <c r="E456" s="8">
        <v>87</v>
      </c>
    </row>
    <row r="457" s="3" customFormat="1" ht="18.75" spans="1:5">
      <c r="A457" s="8" t="str">
        <f t="shared" si="8"/>
        <v>250003</v>
      </c>
      <c r="B457" s="8" t="str">
        <f>"2561401011817"</f>
        <v>2561401011817</v>
      </c>
      <c r="C457" s="8" t="s">
        <v>7</v>
      </c>
      <c r="D457" s="9">
        <v>59.5</v>
      </c>
      <c r="E457" s="8">
        <v>88</v>
      </c>
    </row>
    <row r="458" s="3" customFormat="1" ht="18.75" spans="1:5">
      <c r="A458" s="8" t="str">
        <f t="shared" si="8"/>
        <v>250003</v>
      </c>
      <c r="B458" s="8" t="str">
        <f>"2561401012215"</f>
        <v>2561401012215</v>
      </c>
      <c r="C458" s="8" t="s">
        <v>7</v>
      </c>
      <c r="D458" s="9">
        <v>59.5</v>
      </c>
      <c r="E458" s="8">
        <v>88</v>
      </c>
    </row>
    <row r="459" s="3" customFormat="1" ht="18.75" spans="1:5">
      <c r="A459" s="8" t="str">
        <f t="shared" si="8"/>
        <v>250003</v>
      </c>
      <c r="B459" s="8" t="str">
        <f>"2561401012527"</f>
        <v>2561401012527</v>
      </c>
      <c r="C459" s="8" t="s">
        <v>7</v>
      </c>
      <c r="D459" s="9">
        <v>59.42</v>
      </c>
      <c r="E459" s="8">
        <v>90</v>
      </c>
    </row>
    <row r="460" s="3" customFormat="1" ht="18.75" spans="1:5">
      <c r="A460" s="8" t="str">
        <f t="shared" si="8"/>
        <v>250003</v>
      </c>
      <c r="B460" s="8" t="str">
        <f>"2561401012427"</f>
        <v>2561401012427</v>
      </c>
      <c r="C460" s="8" t="s">
        <v>7</v>
      </c>
      <c r="D460" s="9">
        <v>59.34</v>
      </c>
      <c r="E460" s="8">
        <v>91</v>
      </c>
    </row>
    <row r="461" s="3" customFormat="1" ht="18.75" spans="1:5">
      <c r="A461" s="8" t="str">
        <f t="shared" si="8"/>
        <v>250003</v>
      </c>
      <c r="B461" s="8" t="str">
        <f>"2561401011609"</f>
        <v>2561401011609</v>
      </c>
      <c r="C461" s="8" t="s">
        <v>7</v>
      </c>
      <c r="D461" s="9">
        <v>59.32</v>
      </c>
      <c r="E461" s="8">
        <v>92</v>
      </c>
    </row>
    <row r="462" s="3" customFormat="1" ht="18.75" spans="1:5">
      <c r="A462" s="8" t="str">
        <f t="shared" si="8"/>
        <v>250003</v>
      </c>
      <c r="B462" s="8" t="str">
        <f>"2561401012609"</f>
        <v>2561401012609</v>
      </c>
      <c r="C462" s="8" t="s">
        <v>7</v>
      </c>
      <c r="D462" s="9">
        <v>59.26</v>
      </c>
      <c r="E462" s="8">
        <v>93</v>
      </c>
    </row>
    <row r="463" s="3" customFormat="1" ht="18.75" spans="1:5">
      <c r="A463" s="8" t="str">
        <f t="shared" si="8"/>
        <v>250003</v>
      </c>
      <c r="B463" s="8" t="str">
        <f>"2561401011319"</f>
        <v>2561401011319</v>
      </c>
      <c r="C463" s="8" t="s">
        <v>7</v>
      </c>
      <c r="D463" s="9">
        <v>59.22</v>
      </c>
      <c r="E463" s="8">
        <v>94</v>
      </c>
    </row>
    <row r="464" s="3" customFormat="1" ht="18.75" spans="1:5">
      <c r="A464" s="8" t="str">
        <f t="shared" si="8"/>
        <v>250003</v>
      </c>
      <c r="B464" s="8" t="str">
        <f>"2561401012522"</f>
        <v>2561401012522</v>
      </c>
      <c r="C464" s="8" t="s">
        <v>7</v>
      </c>
      <c r="D464" s="9">
        <v>59.14</v>
      </c>
      <c r="E464" s="8">
        <v>95</v>
      </c>
    </row>
    <row r="465" s="3" customFormat="1" ht="18.75" spans="1:5">
      <c r="A465" s="8" t="str">
        <f t="shared" si="8"/>
        <v>250003</v>
      </c>
      <c r="B465" s="8" t="str">
        <f>"2561401012103"</f>
        <v>2561401012103</v>
      </c>
      <c r="C465" s="8" t="s">
        <v>7</v>
      </c>
      <c r="D465" s="9">
        <v>59.08</v>
      </c>
      <c r="E465" s="8">
        <v>96</v>
      </c>
    </row>
    <row r="466" s="3" customFormat="1" ht="18.75" spans="1:5">
      <c r="A466" s="8" t="str">
        <f t="shared" si="8"/>
        <v>250003</v>
      </c>
      <c r="B466" s="8" t="str">
        <f>"2561401011603"</f>
        <v>2561401011603</v>
      </c>
      <c r="C466" s="8" t="s">
        <v>7</v>
      </c>
      <c r="D466" s="9">
        <v>58.91</v>
      </c>
      <c r="E466" s="8">
        <v>97</v>
      </c>
    </row>
    <row r="467" s="3" customFormat="1" ht="18.75" spans="1:5">
      <c r="A467" s="8" t="str">
        <f t="shared" si="8"/>
        <v>250003</v>
      </c>
      <c r="B467" s="8" t="str">
        <f>"2561401011915"</f>
        <v>2561401011915</v>
      </c>
      <c r="C467" s="8" t="s">
        <v>7</v>
      </c>
      <c r="D467" s="9">
        <v>58.79</v>
      </c>
      <c r="E467" s="8">
        <v>98</v>
      </c>
    </row>
    <row r="468" s="3" customFormat="1" ht="18.75" spans="1:5">
      <c r="A468" s="8" t="str">
        <f t="shared" si="8"/>
        <v>250003</v>
      </c>
      <c r="B468" s="8" t="str">
        <f>"2561401011830"</f>
        <v>2561401011830</v>
      </c>
      <c r="C468" s="8" t="s">
        <v>7</v>
      </c>
      <c r="D468" s="9">
        <v>58.72</v>
      </c>
      <c r="E468" s="8">
        <v>99</v>
      </c>
    </row>
    <row r="469" s="3" customFormat="1" ht="18.75" spans="1:5">
      <c r="A469" s="8" t="str">
        <f t="shared" si="8"/>
        <v>250003</v>
      </c>
      <c r="B469" s="8" t="str">
        <f>"2561401011714"</f>
        <v>2561401011714</v>
      </c>
      <c r="C469" s="8" t="s">
        <v>7</v>
      </c>
      <c r="D469" s="9">
        <v>58.71</v>
      </c>
      <c r="E469" s="8">
        <v>100</v>
      </c>
    </row>
    <row r="470" s="3" customFormat="1" ht="18.75" spans="1:5">
      <c r="A470" s="8" t="str">
        <f t="shared" si="8"/>
        <v>250003</v>
      </c>
      <c r="B470" s="8" t="str">
        <f>"2561401011520"</f>
        <v>2561401011520</v>
      </c>
      <c r="C470" s="8" t="s">
        <v>7</v>
      </c>
      <c r="D470" s="9">
        <v>58.7</v>
      </c>
      <c r="E470" s="8">
        <v>101</v>
      </c>
    </row>
    <row r="471" s="3" customFormat="1" ht="18.75" spans="1:5">
      <c r="A471" s="8" t="str">
        <f t="shared" si="8"/>
        <v>250003</v>
      </c>
      <c r="B471" s="8" t="str">
        <f>"2561401012309"</f>
        <v>2561401012309</v>
      </c>
      <c r="C471" s="8" t="s">
        <v>7</v>
      </c>
      <c r="D471" s="9">
        <v>58.68</v>
      </c>
      <c r="E471" s="8">
        <v>102</v>
      </c>
    </row>
    <row r="472" s="3" customFormat="1" ht="18.75" spans="1:5">
      <c r="A472" s="8" t="str">
        <f t="shared" si="8"/>
        <v>250003</v>
      </c>
      <c r="B472" s="8" t="str">
        <f>"2561401012701"</f>
        <v>2561401012701</v>
      </c>
      <c r="C472" s="8" t="s">
        <v>7</v>
      </c>
      <c r="D472" s="9">
        <v>58.62</v>
      </c>
      <c r="E472" s="8">
        <v>103</v>
      </c>
    </row>
    <row r="473" s="3" customFormat="1" ht="18.75" spans="1:5">
      <c r="A473" s="8" t="str">
        <f t="shared" si="8"/>
        <v>250003</v>
      </c>
      <c r="B473" s="8" t="str">
        <f>"2561401012423"</f>
        <v>2561401012423</v>
      </c>
      <c r="C473" s="8" t="s">
        <v>7</v>
      </c>
      <c r="D473" s="9">
        <v>58.53</v>
      </c>
      <c r="E473" s="8">
        <v>104</v>
      </c>
    </row>
    <row r="474" s="3" customFormat="1" ht="18.75" spans="1:5">
      <c r="A474" s="8" t="str">
        <f t="shared" si="8"/>
        <v>250003</v>
      </c>
      <c r="B474" s="8" t="str">
        <f>"2561401011411"</f>
        <v>2561401011411</v>
      </c>
      <c r="C474" s="8" t="s">
        <v>7</v>
      </c>
      <c r="D474" s="9">
        <v>58.45</v>
      </c>
      <c r="E474" s="8">
        <v>105</v>
      </c>
    </row>
    <row r="475" s="3" customFormat="1" ht="18.75" spans="1:5">
      <c r="A475" s="8" t="str">
        <f t="shared" si="8"/>
        <v>250003</v>
      </c>
      <c r="B475" s="8" t="str">
        <f>"2561401012426"</f>
        <v>2561401012426</v>
      </c>
      <c r="C475" s="8" t="s">
        <v>7</v>
      </c>
      <c r="D475" s="9">
        <v>58.42</v>
      </c>
      <c r="E475" s="8">
        <v>106</v>
      </c>
    </row>
    <row r="476" s="3" customFormat="1" ht="18.75" spans="1:5">
      <c r="A476" s="8" t="str">
        <f t="shared" si="8"/>
        <v>250003</v>
      </c>
      <c r="B476" s="8" t="str">
        <f>"2561401012230"</f>
        <v>2561401012230</v>
      </c>
      <c r="C476" s="8" t="s">
        <v>7</v>
      </c>
      <c r="D476" s="9">
        <v>58.36</v>
      </c>
      <c r="E476" s="8">
        <v>107</v>
      </c>
    </row>
    <row r="477" s="3" customFormat="1" ht="18.75" spans="1:5">
      <c r="A477" s="8" t="str">
        <f t="shared" si="8"/>
        <v>250003</v>
      </c>
      <c r="B477" s="8" t="str">
        <f>"2561401011921"</f>
        <v>2561401011921</v>
      </c>
      <c r="C477" s="8" t="s">
        <v>7</v>
      </c>
      <c r="D477" s="9">
        <v>58.34</v>
      </c>
      <c r="E477" s="8">
        <v>108</v>
      </c>
    </row>
    <row r="478" s="3" customFormat="1" ht="18.75" spans="1:5">
      <c r="A478" s="8" t="str">
        <f t="shared" si="8"/>
        <v>250003</v>
      </c>
      <c r="B478" s="8" t="str">
        <f>"2561401011521"</f>
        <v>2561401011521</v>
      </c>
      <c r="C478" s="8" t="s">
        <v>7</v>
      </c>
      <c r="D478" s="9">
        <v>58.2</v>
      </c>
      <c r="E478" s="8">
        <v>109</v>
      </c>
    </row>
    <row r="479" s="3" customFormat="1" ht="18.75" spans="1:5">
      <c r="A479" s="8" t="str">
        <f t="shared" si="8"/>
        <v>250003</v>
      </c>
      <c r="B479" s="8" t="str">
        <f>"2561401012330"</f>
        <v>2561401012330</v>
      </c>
      <c r="C479" s="8" t="s">
        <v>7</v>
      </c>
      <c r="D479" s="9">
        <v>58.18</v>
      </c>
      <c r="E479" s="8">
        <v>110</v>
      </c>
    </row>
    <row r="480" s="3" customFormat="1" ht="18.75" spans="1:5">
      <c r="A480" s="8" t="str">
        <f t="shared" si="8"/>
        <v>250003</v>
      </c>
      <c r="B480" s="8" t="str">
        <f>"2561401012024"</f>
        <v>2561401012024</v>
      </c>
      <c r="C480" s="8" t="s">
        <v>7</v>
      </c>
      <c r="D480" s="9">
        <v>57.87</v>
      </c>
      <c r="E480" s="8">
        <v>111</v>
      </c>
    </row>
    <row r="481" s="3" customFormat="1" ht="18.75" spans="1:5">
      <c r="A481" s="8" t="str">
        <f t="shared" si="8"/>
        <v>250003</v>
      </c>
      <c r="B481" s="8" t="str">
        <f>"2561401012312"</f>
        <v>2561401012312</v>
      </c>
      <c r="C481" s="8" t="s">
        <v>7</v>
      </c>
      <c r="D481" s="9">
        <v>57.75</v>
      </c>
      <c r="E481" s="8">
        <v>112</v>
      </c>
    </row>
    <row r="482" s="3" customFormat="1" ht="18.75" spans="1:5">
      <c r="A482" s="8" t="str">
        <f t="shared" si="8"/>
        <v>250003</v>
      </c>
      <c r="B482" s="8" t="str">
        <f>"2561401012407"</f>
        <v>2561401012407</v>
      </c>
      <c r="C482" s="8" t="s">
        <v>7</v>
      </c>
      <c r="D482" s="9">
        <v>57.72</v>
      </c>
      <c r="E482" s="8">
        <v>113</v>
      </c>
    </row>
    <row r="483" s="3" customFormat="1" ht="18.75" spans="1:5">
      <c r="A483" s="8" t="str">
        <f t="shared" si="8"/>
        <v>250003</v>
      </c>
      <c r="B483" s="8" t="str">
        <f>"2561401011803"</f>
        <v>2561401011803</v>
      </c>
      <c r="C483" s="8" t="s">
        <v>7</v>
      </c>
      <c r="D483" s="9">
        <v>57.7</v>
      </c>
      <c r="E483" s="8">
        <v>114</v>
      </c>
    </row>
    <row r="484" s="3" customFormat="1" ht="18.75" spans="1:5">
      <c r="A484" s="8" t="str">
        <f t="shared" si="8"/>
        <v>250003</v>
      </c>
      <c r="B484" s="8" t="str">
        <f>"2561401012229"</f>
        <v>2561401012229</v>
      </c>
      <c r="C484" s="8" t="s">
        <v>7</v>
      </c>
      <c r="D484" s="9">
        <v>57.7</v>
      </c>
      <c r="E484" s="8">
        <v>114</v>
      </c>
    </row>
    <row r="485" s="3" customFormat="1" ht="18.75" spans="1:5">
      <c r="A485" s="8" t="str">
        <f t="shared" si="8"/>
        <v>250003</v>
      </c>
      <c r="B485" s="8" t="str">
        <f>"2561401012221"</f>
        <v>2561401012221</v>
      </c>
      <c r="C485" s="8" t="s">
        <v>7</v>
      </c>
      <c r="D485" s="9">
        <v>57.66</v>
      </c>
      <c r="E485" s="8">
        <v>116</v>
      </c>
    </row>
    <row r="486" s="3" customFormat="1" ht="18.75" spans="1:5">
      <c r="A486" s="8" t="str">
        <f t="shared" si="8"/>
        <v>250003</v>
      </c>
      <c r="B486" s="8" t="str">
        <f>"2561401012716"</f>
        <v>2561401012716</v>
      </c>
      <c r="C486" s="8" t="s">
        <v>7</v>
      </c>
      <c r="D486" s="9">
        <v>57.59</v>
      </c>
      <c r="E486" s="8">
        <v>117</v>
      </c>
    </row>
    <row r="487" s="3" customFormat="1" ht="18.75" spans="1:5">
      <c r="A487" s="8" t="str">
        <f t="shared" si="8"/>
        <v>250003</v>
      </c>
      <c r="B487" s="8" t="str">
        <f>"2561401011426"</f>
        <v>2561401011426</v>
      </c>
      <c r="C487" s="8" t="s">
        <v>7</v>
      </c>
      <c r="D487" s="9">
        <v>57.58</v>
      </c>
      <c r="E487" s="8">
        <v>118</v>
      </c>
    </row>
    <row r="488" s="3" customFormat="1" ht="18.75" spans="1:5">
      <c r="A488" s="8" t="str">
        <f t="shared" si="8"/>
        <v>250003</v>
      </c>
      <c r="B488" s="8" t="str">
        <f>"2561401011506"</f>
        <v>2561401011506</v>
      </c>
      <c r="C488" s="8" t="s">
        <v>7</v>
      </c>
      <c r="D488" s="9">
        <v>57.55</v>
      </c>
      <c r="E488" s="8">
        <v>119</v>
      </c>
    </row>
    <row r="489" s="3" customFormat="1" ht="18.75" spans="1:5">
      <c r="A489" s="8" t="str">
        <f t="shared" si="8"/>
        <v>250003</v>
      </c>
      <c r="B489" s="8" t="str">
        <f>"2561401011619"</f>
        <v>2561401011619</v>
      </c>
      <c r="C489" s="8" t="s">
        <v>7</v>
      </c>
      <c r="D489" s="9">
        <v>57.55</v>
      </c>
      <c r="E489" s="8">
        <v>119</v>
      </c>
    </row>
    <row r="490" s="3" customFormat="1" ht="18.75" spans="1:5">
      <c r="A490" s="8" t="str">
        <f t="shared" si="8"/>
        <v>250003</v>
      </c>
      <c r="B490" s="8" t="str">
        <f>"2561401012010"</f>
        <v>2561401012010</v>
      </c>
      <c r="C490" s="8" t="s">
        <v>7</v>
      </c>
      <c r="D490" s="9">
        <v>57.47</v>
      </c>
      <c r="E490" s="8">
        <v>121</v>
      </c>
    </row>
    <row r="491" s="3" customFormat="1" ht="18.75" spans="1:5">
      <c r="A491" s="8" t="str">
        <f t="shared" si="8"/>
        <v>250003</v>
      </c>
      <c r="B491" s="8" t="str">
        <f>"2561401012513"</f>
        <v>2561401012513</v>
      </c>
      <c r="C491" s="8" t="s">
        <v>7</v>
      </c>
      <c r="D491" s="9">
        <v>57.47</v>
      </c>
      <c r="E491" s="8">
        <v>121</v>
      </c>
    </row>
    <row r="492" s="3" customFormat="1" ht="18.75" spans="1:5">
      <c r="A492" s="8" t="str">
        <f t="shared" si="8"/>
        <v>250003</v>
      </c>
      <c r="B492" s="8" t="str">
        <f>"2561401011815"</f>
        <v>2561401011815</v>
      </c>
      <c r="C492" s="8" t="s">
        <v>7</v>
      </c>
      <c r="D492" s="9">
        <v>57.46</v>
      </c>
      <c r="E492" s="8">
        <v>123</v>
      </c>
    </row>
    <row r="493" s="3" customFormat="1" ht="18.75" spans="1:5">
      <c r="A493" s="8" t="str">
        <f t="shared" si="8"/>
        <v>250003</v>
      </c>
      <c r="B493" s="8" t="str">
        <f>"2561401012113"</f>
        <v>2561401012113</v>
      </c>
      <c r="C493" s="8" t="s">
        <v>7</v>
      </c>
      <c r="D493" s="9">
        <v>57.42</v>
      </c>
      <c r="E493" s="8">
        <v>124</v>
      </c>
    </row>
    <row r="494" s="3" customFormat="1" ht="18.75" spans="1:5">
      <c r="A494" s="8" t="str">
        <f t="shared" si="8"/>
        <v>250003</v>
      </c>
      <c r="B494" s="8" t="str">
        <f>"2561401012715"</f>
        <v>2561401012715</v>
      </c>
      <c r="C494" s="8" t="s">
        <v>7</v>
      </c>
      <c r="D494" s="9">
        <v>57.42</v>
      </c>
      <c r="E494" s="8">
        <v>124</v>
      </c>
    </row>
    <row r="495" s="3" customFormat="1" ht="18.75" spans="1:5">
      <c r="A495" s="8" t="str">
        <f t="shared" si="8"/>
        <v>250003</v>
      </c>
      <c r="B495" s="8" t="str">
        <f>"2561401012315"</f>
        <v>2561401012315</v>
      </c>
      <c r="C495" s="8" t="s">
        <v>7</v>
      </c>
      <c r="D495" s="9">
        <v>57.38</v>
      </c>
      <c r="E495" s="8">
        <v>126</v>
      </c>
    </row>
    <row r="496" s="3" customFormat="1" ht="18.75" spans="1:5">
      <c r="A496" s="8" t="str">
        <f t="shared" si="8"/>
        <v>250003</v>
      </c>
      <c r="B496" s="8" t="str">
        <f>"2561401012222"</f>
        <v>2561401012222</v>
      </c>
      <c r="C496" s="8" t="s">
        <v>7</v>
      </c>
      <c r="D496" s="9">
        <v>57.35</v>
      </c>
      <c r="E496" s="8">
        <v>127</v>
      </c>
    </row>
    <row r="497" s="3" customFormat="1" ht="18.75" spans="1:5">
      <c r="A497" s="8" t="str">
        <f t="shared" si="8"/>
        <v>250003</v>
      </c>
      <c r="B497" s="8" t="str">
        <f>"2561401011813"</f>
        <v>2561401011813</v>
      </c>
      <c r="C497" s="8" t="s">
        <v>7</v>
      </c>
      <c r="D497" s="9">
        <v>57.31</v>
      </c>
      <c r="E497" s="8">
        <v>128</v>
      </c>
    </row>
    <row r="498" s="3" customFormat="1" ht="18.75" spans="1:5">
      <c r="A498" s="8" t="str">
        <f t="shared" ref="A498:A561" si="9">"250003"</f>
        <v>250003</v>
      </c>
      <c r="B498" s="8" t="str">
        <f>"2561401012429"</f>
        <v>2561401012429</v>
      </c>
      <c r="C498" s="8" t="s">
        <v>7</v>
      </c>
      <c r="D498" s="9">
        <v>57.31</v>
      </c>
      <c r="E498" s="8">
        <v>128</v>
      </c>
    </row>
    <row r="499" s="3" customFormat="1" ht="18.75" spans="1:5">
      <c r="A499" s="8" t="str">
        <f t="shared" si="9"/>
        <v>250003</v>
      </c>
      <c r="B499" s="8" t="str">
        <f>"2561401011420"</f>
        <v>2561401011420</v>
      </c>
      <c r="C499" s="8" t="s">
        <v>7</v>
      </c>
      <c r="D499" s="9">
        <v>57.28</v>
      </c>
      <c r="E499" s="8">
        <v>130</v>
      </c>
    </row>
    <row r="500" s="3" customFormat="1" ht="18.75" spans="1:5">
      <c r="A500" s="8" t="str">
        <f t="shared" si="9"/>
        <v>250003</v>
      </c>
      <c r="B500" s="8" t="str">
        <f>"2561401011825"</f>
        <v>2561401011825</v>
      </c>
      <c r="C500" s="8" t="s">
        <v>7</v>
      </c>
      <c r="D500" s="9">
        <v>57.21</v>
      </c>
      <c r="E500" s="8">
        <v>131</v>
      </c>
    </row>
    <row r="501" s="3" customFormat="1" ht="18.75" spans="1:5">
      <c r="A501" s="8" t="str">
        <f t="shared" si="9"/>
        <v>250003</v>
      </c>
      <c r="B501" s="8" t="str">
        <f>"2561401011316"</f>
        <v>2561401011316</v>
      </c>
      <c r="C501" s="8" t="s">
        <v>7</v>
      </c>
      <c r="D501" s="9">
        <v>57.13</v>
      </c>
      <c r="E501" s="8">
        <v>132</v>
      </c>
    </row>
    <row r="502" s="3" customFormat="1" ht="18.75" spans="1:5">
      <c r="A502" s="8" t="str">
        <f t="shared" si="9"/>
        <v>250003</v>
      </c>
      <c r="B502" s="8" t="str">
        <f>"2561401011501"</f>
        <v>2561401011501</v>
      </c>
      <c r="C502" s="8" t="s">
        <v>7</v>
      </c>
      <c r="D502" s="9">
        <v>57</v>
      </c>
      <c r="E502" s="8">
        <v>133</v>
      </c>
    </row>
    <row r="503" s="3" customFormat="1" ht="18.75" spans="1:5">
      <c r="A503" s="8" t="str">
        <f t="shared" si="9"/>
        <v>250003</v>
      </c>
      <c r="B503" s="8" t="str">
        <f>"2561401011421"</f>
        <v>2561401011421</v>
      </c>
      <c r="C503" s="8" t="s">
        <v>7</v>
      </c>
      <c r="D503" s="9">
        <v>56.95</v>
      </c>
      <c r="E503" s="8">
        <v>134</v>
      </c>
    </row>
    <row r="504" s="3" customFormat="1" ht="18.75" spans="1:5">
      <c r="A504" s="8" t="str">
        <f t="shared" si="9"/>
        <v>250003</v>
      </c>
      <c r="B504" s="8" t="str">
        <f>"2561401012108"</f>
        <v>2561401012108</v>
      </c>
      <c r="C504" s="8" t="s">
        <v>7</v>
      </c>
      <c r="D504" s="9">
        <v>56.95</v>
      </c>
      <c r="E504" s="8">
        <v>134</v>
      </c>
    </row>
    <row r="505" s="3" customFormat="1" ht="18.75" spans="1:5">
      <c r="A505" s="8" t="str">
        <f t="shared" si="9"/>
        <v>250003</v>
      </c>
      <c r="B505" s="8" t="str">
        <f>"2561401012605"</f>
        <v>2561401012605</v>
      </c>
      <c r="C505" s="8" t="s">
        <v>7</v>
      </c>
      <c r="D505" s="9">
        <v>56.88</v>
      </c>
      <c r="E505" s="8">
        <v>136</v>
      </c>
    </row>
    <row r="506" s="3" customFormat="1" ht="18.75" spans="1:5">
      <c r="A506" s="8" t="str">
        <f t="shared" si="9"/>
        <v>250003</v>
      </c>
      <c r="B506" s="8" t="str">
        <f>"2561401012216"</f>
        <v>2561401012216</v>
      </c>
      <c r="C506" s="8" t="s">
        <v>7</v>
      </c>
      <c r="D506" s="9">
        <v>56.84</v>
      </c>
      <c r="E506" s="8">
        <v>137</v>
      </c>
    </row>
    <row r="507" s="3" customFormat="1" ht="18.75" spans="1:5">
      <c r="A507" s="8" t="str">
        <f t="shared" si="9"/>
        <v>250003</v>
      </c>
      <c r="B507" s="8" t="str">
        <f>"2561401011617"</f>
        <v>2561401011617</v>
      </c>
      <c r="C507" s="8" t="s">
        <v>7</v>
      </c>
      <c r="D507" s="9">
        <v>56.7</v>
      </c>
      <c r="E507" s="8">
        <v>138</v>
      </c>
    </row>
    <row r="508" s="3" customFormat="1" ht="18.75" spans="1:5">
      <c r="A508" s="8" t="str">
        <f t="shared" si="9"/>
        <v>250003</v>
      </c>
      <c r="B508" s="8" t="str">
        <f>"2561401012029"</f>
        <v>2561401012029</v>
      </c>
      <c r="C508" s="8" t="s">
        <v>7</v>
      </c>
      <c r="D508" s="9">
        <v>56.64</v>
      </c>
      <c r="E508" s="8">
        <v>139</v>
      </c>
    </row>
    <row r="509" s="3" customFormat="1" ht="18.75" spans="1:5">
      <c r="A509" s="8" t="str">
        <f t="shared" si="9"/>
        <v>250003</v>
      </c>
      <c r="B509" s="8" t="str">
        <f>"2561401011516"</f>
        <v>2561401011516</v>
      </c>
      <c r="C509" s="8" t="s">
        <v>7</v>
      </c>
      <c r="D509" s="9">
        <v>56.6</v>
      </c>
      <c r="E509" s="8">
        <v>140</v>
      </c>
    </row>
    <row r="510" s="3" customFormat="1" ht="18.75" spans="1:5">
      <c r="A510" s="8" t="str">
        <f t="shared" si="9"/>
        <v>250003</v>
      </c>
      <c r="B510" s="8" t="str">
        <f>"2561401011907"</f>
        <v>2561401011907</v>
      </c>
      <c r="C510" s="8" t="s">
        <v>7</v>
      </c>
      <c r="D510" s="9">
        <v>56.58</v>
      </c>
      <c r="E510" s="8">
        <v>141</v>
      </c>
    </row>
    <row r="511" s="3" customFormat="1" ht="18.75" spans="1:5">
      <c r="A511" s="8" t="str">
        <f t="shared" si="9"/>
        <v>250003</v>
      </c>
      <c r="B511" s="8" t="str">
        <f>"2561401012122"</f>
        <v>2561401012122</v>
      </c>
      <c r="C511" s="8" t="s">
        <v>7</v>
      </c>
      <c r="D511" s="9">
        <v>56.49</v>
      </c>
      <c r="E511" s="8">
        <v>142</v>
      </c>
    </row>
    <row r="512" s="3" customFormat="1" ht="18.75" spans="1:5">
      <c r="A512" s="8" t="str">
        <f t="shared" si="9"/>
        <v>250003</v>
      </c>
      <c r="B512" s="8" t="str">
        <f>"2561401011527"</f>
        <v>2561401011527</v>
      </c>
      <c r="C512" s="8" t="s">
        <v>7</v>
      </c>
      <c r="D512" s="9">
        <v>56.43</v>
      </c>
      <c r="E512" s="8">
        <v>143</v>
      </c>
    </row>
    <row r="513" s="3" customFormat="1" ht="18.75" spans="1:5">
      <c r="A513" s="8" t="str">
        <f t="shared" si="9"/>
        <v>250003</v>
      </c>
      <c r="B513" s="8" t="str">
        <f>"2561401011530"</f>
        <v>2561401011530</v>
      </c>
      <c r="C513" s="8" t="s">
        <v>7</v>
      </c>
      <c r="D513" s="9">
        <v>56.35</v>
      </c>
      <c r="E513" s="8">
        <v>144</v>
      </c>
    </row>
    <row r="514" s="3" customFormat="1" ht="18.75" spans="1:5">
      <c r="A514" s="8" t="str">
        <f t="shared" si="9"/>
        <v>250003</v>
      </c>
      <c r="B514" s="8" t="str">
        <f>"2561401011616"</f>
        <v>2561401011616</v>
      </c>
      <c r="C514" s="8" t="s">
        <v>7</v>
      </c>
      <c r="D514" s="9">
        <v>56.29</v>
      </c>
      <c r="E514" s="8">
        <v>145</v>
      </c>
    </row>
    <row r="515" s="3" customFormat="1" ht="18.75" spans="1:5">
      <c r="A515" s="8" t="str">
        <f t="shared" si="9"/>
        <v>250003</v>
      </c>
      <c r="B515" s="8" t="str">
        <f>"2561401011711"</f>
        <v>2561401011711</v>
      </c>
      <c r="C515" s="8" t="s">
        <v>7</v>
      </c>
      <c r="D515" s="9">
        <v>56.28</v>
      </c>
      <c r="E515" s="8">
        <v>146</v>
      </c>
    </row>
    <row r="516" s="3" customFormat="1" ht="18.75" spans="1:5">
      <c r="A516" s="8" t="str">
        <f t="shared" si="9"/>
        <v>250003</v>
      </c>
      <c r="B516" s="8" t="str">
        <f>"2561401011802"</f>
        <v>2561401011802</v>
      </c>
      <c r="C516" s="8" t="s">
        <v>7</v>
      </c>
      <c r="D516" s="9">
        <v>56.26</v>
      </c>
      <c r="E516" s="8">
        <v>147</v>
      </c>
    </row>
    <row r="517" s="3" customFormat="1" ht="18.75" spans="1:5">
      <c r="A517" s="8" t="str">
        <f t="shared" si="9"/>
        <v>250003</v>
      </c>
      <c r="B517" s="8" t="str">
        <f>"2561401012118"</f>
        <v>2561401012118</v>
      </c>
      <c r="C517" s="8" t="s">
        <v>7</v>
      </c>
      <c r="D517" s="9">
        <v>56.23</v>
      </c>
      <c r="E517" s="8">
        <v>148</v>
      </c>
    </row>
    <row r="518" s="3" customFormat="1" ht="18.75" spans="1:5">
      <c r="A518" s="8" t="str">
        <f t="shared" si="9"/>
        <v>250003</v>
      </c>
      <c r="B518" s="8" t="str">
        <f>"2561401012123"</f>
        <v>2561401012123</v>
      </c>
      <c r="C518" s="8" t="s">
        <v>7</v>
      </c>
      <c r="D518" s="9">
        <v>56.19</v>
      </c>
      <c r="E518" s="8">
        <v>149</v>
      </c>
    </row>
    <row r="519" s="3" customFormat="1" ht="18.75" spans="1:5">
      <c r="A519" s="8" t="str">
        <f t="shared" si="9"/>
        <v>250003</v>
      </c>
      <c r="B519" s="8" t="str">
        <f>"2561401012430"</f>
        <v>2561401012430</v>
      </c>
      <c r="C519" s="8" t="s">
        <v>7</v>
      </c>
      <c r="D519" s="9">
        <v>56.07</v>
      </c>
      <c r="E519" s="8">
        <v>150</v>
      </c>
    </row>
    <row r="520" s="3" customFormat="1" ht="18.75" spans="1:5">
      <c r="A520" s="8" t="str">
        <f t="shared" si="9"/>
        <v>250003</v>
      </c>
      <c r="B520" s="8" t="str">
        <f>"2561401012212"</f>
        <v>2561401012212</v>
      </c>
      <c r="C520" s="8" t="s">
        <v>7</v>
      </c>
      <c r="D520" s="9">
        <v>55.98</v>
      </c>
      <c r="E520" s="8">
        <v>151</v>
      </c>
    </row>
    <row r="521" s="3" customFormat="1" ht="18.75" spans="1:5">
      <c r="A521" s="8" t="str">
        <f t="shared" si="9"/>
        <v>250003</v>
      </c>
      <c r="B521" s="8" t="str">
        <f>"2561401012030"</f>
        <v>2561401012030</v>
      </c>
      <c r="C521" s="8" t="s">
        <v>7</v>
      </c>
      <c r="D521" s="9">
        <v>55.95</v>
      </c>
      <c r="E521" s="8">
        <v>152</v>
      </c>
    </row>
    <row r="522" s="3" customFormat="1" ht="18.75" spans="1:5">
      <c r="A522" s="8" t="str">
        <f t="shared" si="9"/>
        <v>250003</v>
      </c>
      <c r="B522" s="8" t="str">
        <f>"2561401011518"</f>
        <v>2561401011518</v>
      </c>
      <c r="C522" s="8" t="s">
        <v>7</v>
      </c>
      <c r="D522" s="9">
        <v>55.79</v>
      </c>
      <c r="E522" s="8">
        <v>153</v>
      </c>
    </row>
    <row r="523" s="3" customFormat="1" ht="18.75" spans="1:5">
      <c r="A523" s="8" t="str">
        <f t="shared" si="9"/>
        <v>250003</v>
      </c>
      <c r="B523" s="8" t="str">
        <f>"2561401011625"</f>
        <v>2561401011625</v>
      </c>
      <c r="C523" s="8" t="s">
        <v>7</v>
      </c>
      <c r="D523" s="9">
        <v>55.75</v>
      </c>
      <c r="E523" s="8">
        <v>154</v>
      </c>
    </row>
    <row r="524" s="3" customFormat="1" ht="18.75" spans="1:5">
      <c r="A524" s="8" t="str">
        <f t="shared" si="9"/>
        <v>250003</v>
      </c>
      <c r="B524" s="8" t="str">
        <f>"2561401011321"</f>
        <v>2561401011321</v>
      </c>
      <c r="C524" s="8" t="s">
        <v>7</v>
      </c>
      <c r="D524" s="9">
        <v>55.6</v>
      </c>
      <c r="E524" s="8">
        <v>155</v>
      </c>
    </row>
    <row r="525" s="3" customFormat="1" ht="18.75" spans="1:5">
      <c r="A525" s="8" t="str">
        <f t="shared" si="9"/>
        <v>250003</v>
      </c>
      <c r="B525" s="8" t="str">
        <f>"2561401012626"</f>
        <v>2561401012626</v>
      </c>
      <c r="C525" s="8" t="s">
        <v>7</v>
      </c>
      <c r="D525" s="9">
        <v>55.6</v>
      </c>
      <c r="E525" s="8">
        <v>155</v>
      </c>
    </row>
    <row r="526" s="3" customFormat="1" ht="18.75" spans="1:5">
      <c r="A526" s="8" t="str">
        <f t="shared" si="9"/>
        <v>250003</v>
      </c>
      <c r="B526" s="8" t="str">
        <f>"2561401012802"</f>
        <v>2561401012802</v>
      </c>
      <c r="C526" s="8" t="s">
        <v>7</v>
      </c>
      <c r="D526" s="9">
        <v>55.59</v>
      </c>
      <c r="E526" s="8">
        <v>157</v>
      </c>
    </row>
    <row r="527" s="3" customFormat="1" ht="18.75" spans="1:5">
      <c r="A527" s="8" t="str">
        <f t="shared" si="9"/>
        <v>250003</v>
      </c>
      <c r="B527" s="8" t="str">
        <f>"2561401012528"</f>
        <v>2561401012528</v>
      </c>
      <c r="C527" s="8" t="s">
        <v>7</v>
      </c>
      <c r="D527" s="9">
        <v>55.56</v>
      </c>
      <c r="E527" s="8">
        <v>158</v>
      </c>
    </row>
    <row r="528" s="3" customFormat="1" ht="18.75" spans="1:5">
      <c r="A528" s="8" t="str">
        <f t="shared" si="9"/>
        <v>250003</v>
      </c>
      <c r="B528" s="8" t="str">
        <f>"2561401011613"</f>
        <v>2561401011613</v>
      </c>
      <c r="C528" s="8" t="s">
        <v>7</v>
      </c>
      <c r="D528" s="9">
        <v>55.53</v>
      </c>
      <c r="E528" s="8">
        <v>159</v>
      </c>
    </row>
    <row r="529" s="3" customFormat="1" ht="18.75" spans="1:5">
      <c r="A529" s="8" t="str">
        <f t="shared" si="9"/>
        <v>250003</v>
      </c>
      <c r="B529" s="8" t="str">
        <f>"2561401011514"</f>
        <v>2561401011514</v>
      </c>
      <c r="C529" s="8" t="s">
        <v>7</v>
      </c>
      <c r="D529" s="9">
        <v>55.51</v>
      </c>
      <c r="E529" s="8">
        <v>160</v>
      </c>
    </row>
    <row r="530" s="3" customFormat="1" ht="18.75" spans="1:5">
      <c r="A530" s="8" t="str">
        <f t="shared" si="9"/>
        <v>250003</v>
      </c>
      <c r="B530" s="8" t="str">
        <f>"2561401011806"</f>
        <v>2561401011806</v>
      </c>
      <c r="C530" s="8" t="s">
        <v>7</v>
      </c>
      <c r="D530" s="9">
        <v>55.48</v>
      </c>
      <c r="E530" s="8">
        <v>161</v>
      </c>
    </row>
    <row r="531" s="3" customFormat="1" ht="18.75" spans="1:5">
      <c r="A531" s="8" t="str">
        <f t="shared" si="9"/>
        <v>250003</v>
      </c>
      <c r="B531" s="8" t="str">
        <f>"2561401012322"</f>
        <v>2561401012322</v>
      </c>
      <c r="C531" s="8" t="s">
        <v>7</v>
      </c>
      <c r="D531" s="9">
        <v>55.42</v>
      </c>
      <c r="E531" s="8">
        <v>162</v>
      </c>
    </row>
    <row r="532" s="3" customFormat="1" ht="18.75" spans="1:5">
      <c r="A532" s="8" t="str">
        <f t="shared" si="9"/>
        <v>250003</v>
      </c>
      <c r="B532" s="8" t="str">
        <f>"2561401011503"</f>
        <v>2561401011503</v>
      </c>
      <c r="C532" s="8" t="s">
        <v>7</v>
      </c>
      <c r="D532" s="9">
        <v>55.29</v>
      </c>
      <c r="E532" s="8">
        <v>163</v>
      </c>
    </row>
    <row r="533" s="3" customFormat="1" ht="18.75" spans="1:5">
      <c r="A533" s="8" t="str">
        <f t="shared" si="9"/>
        <v>250003</v>
      </c>
      <c r="B533" s="8" t="str">
        <f>"2561401011812"</f>
        <v>2561401011812</v>
      </c>
      <c r="C533" s="8" t="s">
        <v>7</v>
      </c>
      <c r="D533" s="9">
        <v>55.29</v>
      </c>
      <c r="E533" s="8">
        <v>163</v>
      </c>
    </row>
    <row r="534" s="3" customFormat="1" ht="18.75" spans="1:5">
      <c r="A534" s="8" t="str">
        <f t="shared" si="9"/>
        <v>250003</v>
      </c>
      <c r="B534" s="8" t="str">
        <f>"2561401011529"</f>
        <v>2561401011529</v>
      </c>
      <c r="C534" s="8" t="s">
        <v>7</v>
      </c>
      <c r="D534" s="9">
        <v>55.07</v>
      </c>
      <c r="E534" s="8">
        <v>165</v>
      </c>
    </row>
    <row r="535" s="3" customFormat="1" ht="18.75" spans="1:5">
      <c r="A535" s="8" t="str">
        <f t="shared" si="9"/>
        <v>250003</v>
      </c>
      <c r="B535" s="8" t="str">
        <f>"2561401011402"</f>
        <v>2561401011402</v>
      </c>
      <c r="C535" s="8" t="s">
        <v>7</v>
      </c>
      <c r="D535" s="9">
        <v>55.06</v>
      </c>
      <c r="E535" s="8">
        <v>166</v>
      </c>
    </row>
    <row r="536" s="3" customFormat="1" ht="18.75" spans="1:5">
      <c r="A536" s="8" t="str">
        <f t="shared" si="9"/>
        <v>250003</v>
      </c>
      <c r="B536" s="8" t="str">
        <f>"2561401012018"</f>
        <v>2561401012018</v>
      </c>
      <c r="C536" s="8" t="s">
        <v>7</v>
      </c>
      <c r="D536" s="9">
        <v>54.94</v>
      </c>
      <c r="E536" s="8">
        <v>167</v>
      </c>
    </row>
    <row r="537" s="3" customFormat="1" ht="18.75" spans="1:5">
      <c r="A537" s="8" t="str">
        <f t="shared" si="9"/>
        <v>250003</v>
      </c>
      <c r="B537" s="8" t="str">
        <f>"2561401012728"</f>
        <v>2561401012728</v>
      </c>
      <c r="C537" s="8" t="s">
        <v>7</v>
      </c>
      <c r="D537" s="9">
        <v>54.94</v>
      </c>
      <c r="E537" s="8">
        <v>167</v>
      </c>
    </row>
    <row r="538" s="3" customFormat="1" ht="18.75" spans="1:5">
      <c r="A538" s="8" t="str">
        <f t="shared" si="9"/>
        <v>250003</v>
      </c>
      <c r="B538" s="8" t="str">
        <f>"2561401012130"</f>
        <v>2561401012130</v>
      </c>
      <c r="C538" s="8" t="s">
        <v>7</v>
      </c>
      <c r="D538" s="9">
        <v>54.92</v>
      </c>
      <c r="E538" s="8">
        <v>169</v>
      </c>
    </row>
    <row r="539" s="3" customFormat="1" ht="18.75" spans="1:5">
      <c r="A539" s="8" t="str">
        <f t="shared" si="9"/>
        <v>250003</v>
      </c>
      <c r="B539" s="8" t="str">
        <f>"2561401012615"</f>
        <v>2561401012615</v>
      </c>
      <c r="C539" s="8" t="s">
        <v>7</v>
      </c>
      <c r="D539" s="9">
        <v>54.92</v>
      </c>
      <c r="E539" s="8">
        <v>169</v>
      </c>
    </row>
    <row r="540" s="3" customFormat="1" ht="18.75" spans="1:5">
      <c r="A540" s="8" t="str">
        <f t="shared" si="9"/>
        <v>250003</v>
      </c>
      <c r="B540" s="8" t="str">
        <f>"2561401012210"</f>
        <v>2561401012210</v>
      </c>
      <c r="C540" s="8" t="s">
        <v>7</v>
      </c>
      <c r="D540" s="9">
        <v>54.89</v>
      </c>
      <c r="E540" s="8">
        <v>171</v>
      </c>
    </row>
    <row r="541" s="3" customFormat="1" ht="18.75" spans="1:5">
      <c r="A541" s="8" t="str">
        <f t="shared" si="9"/>
        <v>250003</v>
      </c>
      <c r="B541" s="8" t="str">
        <f>"2561401012607"</f>
        <v>2561401012607</v>
      </c>
      <c r="C541" s="8" t="s">
        <v>7</v>
      </c>
      <c r="D541" s="9">
        <v>54.76</v>
      </c>
      <c r="E541" s="8">
        <v>172</v>
      </c>
    </row>
    <row r="542" s="3" customFormat="1" ht="18.75" spans="1:5">
      <c r="A542" s="8" t="str">
        <f t="shared" si="9"/>
        <v>250003</v>
      </c>
      <c r="B542" s="8" t="str">
        <f>"2561401011702"</f>
        <v>2561401011702</v>
      </c>
      <c r="C542" s="8" t="s">
        <v>7</v>
      </c>
      <c r="D542" s="9">
        <v>54.63</v>
      </c>
      <c r="E542" s="8">
        <v>173</v>
      </c>
    </row>
    <row r="543" s="3" customFormat="1" ht="18.75" spans="1:5">
      <c r="A543" s="8" t="str">
        <f t="shared" si="9"/>
        <v>250003</v>
      </c>
      <c r="B543" s="8" t="str">
        <f>"2561401012514"</f>
        <v>2561401012514</v>
      </c>
      <c r="C543" s="8" t="s">
        <v>7</v>
      </c>
      <c r="D543" s="9">
        <v>54.6</v>
      </c>
      <c r="E543" s="8">
        <v>174</v>
      </c>
    </row>
    <row r="544" s="3" customFormat="1" ht="18.75" spans="1:5">
      <c r="A544" s="8" t="str">
        <f t="shared" si="9"/>
        <v>250003</v>
      </c>
      <c r="B544" s="8" t="str">
        <f>"2561401011612"</f>
        <v>2561401011612</v>
      </c>
      <c r="C544" s="8" t="s">
        <v>7</v>
      </c>
      <c r="D544" s="9">
        <v>54.53</v>
      </c>
      <c r="E544" s="8">
        <v>175</v>
      </c>
    </row>
    <row r="545" s="3" customFormat="1" ht="18.75" spans="1:5">
      <c r="A545" s="8" t="str">
        <f t="shared" si="9"/>
        <v>250003</v>
      </c>
      <c r="B545" s="8" t="str">
        <f>"2561401012228"</f>
        <v>2561401012228</v>
      </c>
      <c r="C545" s="8" t="s">
        <v>7</v>
      </c>
      <c r="D545" s="9">
        <v>54.51</v>
      </c>
      <c r="E545" s="8">
        <v>176</v>
      </c>
    </row>
    <row r="546" s="3" customFormat="1" ht="18.75" spans="1:5">
      <c r="A546" s="8" t="str">
        <f t="shared" si="9"/>
        <v>250003</v>
      </c>
      <c r="B546" s="8" t="str">
        <f>"2561401011502"</f>
        <v>2561401011502</v>
      </c>
      <c r="C546" s="8" t="s">
        <v>7</v>
      </c>
      <c r="D546" s="9">
        <v>54.43</v>
      </c>
      <c r="E546" s="8">
        <v>177</v>
      </c>
    </row>
    <row r="547" s="3" customFormat="1" ht="18.75" spans="1:5">
      <c r="A547" s="8" t="str">
        <f t="shared" si="9"/>
        <v>250003</v>
      </c>
      <c r="B547" s="8" t="str">
        <f>"2561401011618"</f>
        <v>2561401011618</v>
      </c>
      <c r="C547" s="8" t="s">
        <v>7</v>
      </c>
      <c r="D547" s="9">
        <v>54.33</v>
      </c>
      <c r="E547" s="8">
        <v>178</v>
      </c>
    </row>
    <row r="548" s="3" customFormat="1" ht="18.75" spans="1:5">
      <c r="A548" s="8" t="str">
        <f t="shared" si="9"/>
        <v>250003</v>
      </c>
      <c r="B548" s="8" t="str">
        <f>"2561401012220"</f>
        <v>2561401012220</v>
      </c>
      <c r="C548" s="8" t="s">
        <v>7</v>
      </c>
      <c r="D548" s="9">
        <v>54.28</v>
      </c>
      <c r="E548" s="8">
        <v>179</v>
      </c>
    </row>
    <row r="549" s="3" customFormat="1" ht="18.75" spans="1:5">
      <c r="A549" s="8" t="str">
        <f t="shared" si="9"/>
        <v>250003</v>
      </c>
      <c r="B549" s="8" t="str">
        <f>"2561401012013"</f>
        <v>2561401012013</v>
      </c>
      <c r="C549" s="8" t="s">
        <v>7</v>
      </c>
      <c r="D549" s="9">
        <v>54.26</v>
      </c>
      <c r="E549" s="8">
        <v>180</v>
      </c>
    </row>
    <row r="550" s="3" customFormat="1" ht="18.75" spans="1:5">
      <c r="A550" s="8" t="str">
        <f t="shared" si="9"/>
        <v>250003</v>
      </c>
      <c r="B550" s="8" t="str">
        <f>"2561401012020"</f>
        <v>2561401012020</v>
      </c>
      <c r="C550" s="8" t="s">
        <v>7</v>
      </c>
      <c r="D550" s="9">
        <v>54.23</v>
      </c>
      <c r="E550" s="8">
        <v>181</v>
      </c>
    </row>
    <row r="551" s="3" customFormat="1" ht="18.75" spans="1:5">
      <c r="A551" s="8" t="str">
        <f t="shared" si="9"/>
        <v>250003</v>
      </c>
      <c r="B551" s="8" t="str">
        <f>"2561401011924"</f>
        <v>2561401011924</v>
      </c>
      <c r="C551" s="8" t="s">
        <v>7</v>
      </c>
      <c r="D551" s="9">
        <v>54.21</v>
      </c>
      <c r="E551" s="8">
        <v>182</v>
      </c>
    </row>
    <row r="552" s="3" customFormat="1" ht="18.75" spans="1:5">
      <c r="A552" s="8" t="str">
        <f t="shared" si="9"/>
        <v>250003</v>
      </c>
      <c r="B552" s="8" t="str">
        <f>"2561401012719"</f>
        <v>2561401012719</v>
      </c>
      <c r="C552" s="8" t="s">
        <v>7</v>
      </c>
      <c r="D552" s="9">
        <v>54.15</v>
      </c>
      <c r="E552" s="8">
        <v>183</v>
      </c>
    </row>
    <row r="553" s="3" customFormat="1" ht="18.75" spans="1:5">
      <c r="A553" s="8" t="str">
        <f t="shared" si="9"/>
        <v>250003</v>
      </c>
      <c r="B553" s="8" t="str">
        <f>"2561401012511"</f>
        <v>2561401012511</v>
      </c>
      <c r="C553" s="8" t="s">
        <v>7</v>
      </c>
      <c r="D553" s="9">
        <v>54.08</v>
      </c>
      <c r="E553" s="8">
        <v>184</v>
      </c>
    </row>
    <row r="554" s="3" customFormat="1" ht="18.75" spans="1:5">
      <c r="A554" s="8" t="str">
        <f t="shared" si="9"/>
        <v>250003</v>
      </c>
      <c r="B554" s="8" t="str">
        <f>"2561401011404"</f>
        <v>2561401011404</v>
      </c>
      <c r="C554" s="8" t="s">
        <v>7</v>
      </c>
      <c r="D554" s="9">
        <v>53.98</v>
      </c>
      <c r="E554" s="8">
        <v>185</v>
      </c>
    </row>
    <row r="555" s="3" customFormat="1" ht="18.75" spans="1:5">
      <c r="A555" s="8" t="str">
        <f t="shared" si="9"/>
        <v>250003</v>
      </c>
      <c r="B555" s="8" t="str">
        <f>"2561401012424"</f>
        <v>2561401012424</v>
      </c>
      <c r="C555" s="8" t="s">
        <v>7</v>
      </c>
      <c r="D555" s="9">
        <v>53.93</v>
      </c>
      <c r="E555" s="8">
        <v>186</v>
      </c>
    </row>
    <row r="556" s="3" customFormat="1" ht="18.75" spans="1:5">
      <c r="A556" s="8" t="str">
        <f t="shared" si="9"/>
        <v>250003</v>
      </c>
      <c r="B556" s="8" t="str">
        <f>"2561401011406"</f>
        <v>2561401011406</v>
      </c>
      <c r="C556" s="8" t="s">
        <v>7</v>
      </c>
      <c r="D556" s="9">
        <v>53.83</v>
      </c>
      <c r="E556" s="8">
        <v>187</v>
      </c>
    </row>
    <row r="557" s="3" customFormat="1" ht="18.75" spans="1:5">
      <c r="A557" s="8" t="str">
        <f t="shared" si="9"/>
        <v>250003</v>
      </c>
      <c r="B557" s="8" t="str">
        <f>"2561401011708"</f>
        <v>2561401011708</v>
      </c>
      <c r="C557" s="8" t="s">
        <v>7</v>
      </c>
      <c r="D557" s="9">
        <v>53.82</v>
      </c>
      <c r="E557" s="8">
        <v>188</v>
      </c>
    </row>
    <row r="558" s="3" customFormat="1" ht="18.75" spans="1:5">
      <c r="A558" s="8" t="str">
        <f t="shared" si="9"/>
        <v>250003</v>
      </c>
      <c r="B558" s="8" t="str">
        <f>"2561401012223"</f>
        <v>2561401012223</v>
      </c>
      <c r="C558" s="8" t="s">
        <v>7</v>
      </c>
      <c r="D558" s="9">
        <v>53.78</v>
      </c>
      <c r="E558" s="8">
        <v>189</v>
      </c>
    </row>
    <row r="559" s="3" customFormat="1" ht="18.75" spans="1:5">
      <c r="A559" s="8" t="str">
        <f t="shared" si="9"/>
        <v>250003</v>
      </c>
      <c r="B559" s="8" t="str">
        <f>"2561401011401"</f>
        <v>2561401011401</v>
      </c>
      <c r="C559" s="8" t="s">
        <v>7</v>
      </c>
      <c r="D559" s="9">
        <v>53.46</v>
      </c>
      <c r="E559" s="8">
        <v>190</v>
      </c>
    </row>
    <row r="560" s="3" customFormat="1" ht="18.75" spans="1:5">
      <c r="A560" s="8" t="str">
        <f t="shared" si="9"/>
        <v>250003</v>
      </c>
      <c r="B560" s="8" t="str">
        <f>"2561401012214"</f>
        <v>2561401012214</v>
      </c>
      <c r="C560" s="8" t="s">
        <v>7</v>
      </c>
      <c r="D560" s="9">
        <v>53.43</v>
      </c>
      <c r="E560" s="8">
        <v>191</v>
      </c>
    </row>
    <row r="561" s="3" customFormat="1" ht="18.75" spans="1:5">
      <c r="A561" s="8" t="str">
        <f t="shared" si="9"/>
        <v>250003</v>
      </c>
      <c r="B561" s="8" t="str">
        <f>"2561401012019"</f>
        <v>2561401012019</v>
      </c>
      <c r="C561" s="8" t="s">
        <v>7</v>
      </c>
      <c r="D561" s="9">
        <v>53.16</v>
      </c>
      <c r="E561" s="8">
        <v>192</v>
      </c>
    </row>
    <row r="562" s="3" customFormat="1" ht="18.75" spans="1:5">
      <c r="A562" s="8" t="str">
        <f t="shared" ref="A562:A625" si="10">"250003"</f>
        <v>250003</v>
      </c>
      <c r="B562" s="8" t="str">
        <f>"2561401011312"</f>
        <v>2561401011312</v>
      </c>
      <c r="C562" s="8" t="s">
        <v>7</v>
      </c>
      <c r="D562" s="9">
        <v>53.14</v>
      </c>
      <c r="E562" s="8">
        <v>193</v>
      </c>
    </row>
    <row r="563" s="3" customFormat="1" ht="18.75" spans="1:5">
      <c r="A563" s="8" t="str">
        <f t="shared" si="10"/>
        <v>250003</v>
      </c>
      <c r="B563" s="8" t="str">
        <f>"2561401011317"</f>
        <v>2561401011317</v>
      </c>
      <c r="C563" s="8" t="s">
        <v>7</v>
      </c>
      <c r="D563" s="9">
        <v>53.13</v>
      </c>
      <c r="E563" s="8">
        <v>194</v>
      </c>
    </row>
    <row r="564" s="3" customFormat="1" ht="18.75" spans="1:5">
      <c r="A564" s="8" t="str">
        <f t="shared" si="10"/>
        <v>250003</v>
      </c>
      <c r="B564" s="8" t="str">
        <f>"2561401011629"</f>
        <v>2561401011629</v>
      </c>
      <c r="C564" s="8" t="s">
        <v>7</v>
      </c>
      <c r="D564" s="9">
        <v>53.13</v>
      </c>
      <c r="E564" s="8">
        <v>194</v>
      </c>
    </row>
    <row r="565" s="3" customFormat="1" ht="18.75" spans="1:5">
      <c r="A565" s="8" t="str">
        <f t="shared" si="10"/>
        <v>250003</v>
      </c>
      <c r="B565" s="8" t="str">
        <f>"2561401012102"</f>
        <v>2561401012102</v>
      </c>
      <c r="C565" s="8" t="s">
        <v>7</v>
      </c>
      <c r="D565" s="9">
        <v>52.72</v>
      </c>
      <c r="E565" s="8">
        <v>196</v>
      </c>
    </row>
    <row r="566" s="3" customFormat="1" ht="18.75" spans="1:5">
      <c r="A566" s="8" t="str">
        <f t="shared" si="10"/>
        <v>250003</v>
      </c>
      <c r="B566" s="8" t="str">
        <f>"2561401012402"</f>
        <v>2561401012402</v>
      </c>
      <c r="C566" s="8" t="s">
        <v>7</v>
      </c>
      <c r="D566" s="9">
        <v>52.69</v>
      </c>
      <c r="E566" s="8">
        <v>197</v>
      </c>
    </row>
    <row r="567" s="3" customFormat="1" ht="18.75" spans="1:5">
      <c r="A567" s="8" t="str">
        <f t="shared" si="10"/>
        <v>250003</v>
      </c>
      <c r="B567" s="8" t="str">
        <f>"2561401012624"</f>
        <v>2561401012624</v>
      </c>
      <c r="C567" s="8" t="s">
        <v>7</v>
      </c>
      <c r="D567" s="9">
        <v>52.69</v>
      </c>
      <c r="E567" s="8">
        <v>197</v>
      </c>
    </row>
    <row r="568" s="3" customFormat="1" ht="18.75" spans="1:5">
      <c r="A568" s="8" t="str">
        <f t="shared" si="10"/>
        <v>250003</v>
      </c>
      <c r="B568" s="8" t="str">
        <f>"2561401011705"</f>
        <v>2561401011705</v>
      </c>
      <c r="C568" s="8" t="s">
        <v>7</v>
      </c>
      <c r="D568" s="9">
        <v>52.65</v>
      </c>
      <c r="E568" s="8">
        <v>199</v>
      </c>
    </row>
    <row r="569" s="3" customFormat="1" ht="18.75" spans="1:5">
      <c r="A569" s="8" t="str">
        <f t="shared" si="10"/>
        <v>250003</v>
      </c>
      <c r="B569" s="8" t="str">
        <f>"2561401011722"</f>
        <v>2561401011722</v>
      </c>
      <c r="C569" s="8" t="s">
        <v>7</v>
      </c>
      <c r="D569" s="9">
        <v>52.51</v>
      </c>
      <c r="E569" s="8">
        <v>200</v>
      </c>
    </row>
    <row r="570" s="3" customFormat="1" ht="18.75" spans="1:5">
      <c r="A570" s="8" t="str">
        <f t="shared" si="10"/>
        <v>250003</v>
      </c>
      <c r="B570" s="8" t="str">
        <f>"2561401011414"</f>
        <v>2561401011414</v>
      </c>
      <c r="C570" s="8" t="s">
        <v>7</v>
      </c>
      <c r="D570" s="9">
        <v>52.45</v>
      </c>
      <c r="E570" s="8">
        <v>201</v>
      </c>
    </row>
    <row r="571" s="3" customFormat="1" ht="18.75" spans="1:5">
      <c r="A571" s="8" t="str">
        <f t="shared" si="10"/>
        <v>250003</v>
      </c>
      <c r="B571" s="8" t="str">
        <f>"2561401012026"</f>
        <v>2561401012026</v>
      </c>
      <c r="C571" s="8" t="s">
        <v>7</v>
      </c>
      <c r="D571" s="9">
        <v>52.41</v>
      </c>
      <c r="E571" s="8">
        <v>202</v>
      </c>
    </row>
    <row r="572" s="3" customFormat="1" ht="18.75" spans="1:5">
      <c r="A572" s="8" t="str">
        <f t="shared" si="10"/>
        <v>250003</v>
      </c>
      <c r="B572" s="8" t="str">
        <f>"2561401012028"</f>
        <v>2561401012028</v>
      </c>
      <c r="C572" s="8" t="s">
        <v>7</v>
      </c>
      <c r="D572" s="9">
        <v>52.29</v>
      </c>
      <c r="E572" s="8">
        <v>203</v>
      </c>
    </row>
    <row r="573" s="3" customFormat="1" ht="18.75" spans="1:5">
      <c r="A573" s="8" t="str">
        <f t="shared" si="10"/>
        <v>250003</v>
      </c>
      <c r="B573" s="8" t="str">
        <f>"2561401011628"</f>
        <v>2561401011628</v>
      </c>
      <c r="C573" s="8" t="s">
        <v>7</v>
      </c>
      <c r="D573" s="9">
        <v>52.12</v>
      </c>
      <c r="E573" s="8">
        <v>204</v>
      </c>
    </row>
    <row r="574" s="3" customFormat="1" ht="18.75" spans="1:5">
      <c r="A574" s="8" t="str">
        <f t="shared" si="10"/>
        <v>250003</v>
      </c>
      <c r="B574" s="8" t="str">
        <f>"2561401011725"</f>
        <v>2561401011725</v>
      </c>
      <c r="C574" s="8" t="s">
        <v>7</v>
      </c>
      <c r="D574" s="9">
        <v>52.05</v>
      </c>
      <c r="E574" s="8">
        <v>205</v>
      </c>
    </row>
    <row r="575" s="3" customFormat="1" ht="18.75" spans="1:5">
      <c r="A575" s="8" t="str">
        <f t="shared" si="10"/>
        <v>250003</v>
      </c>
      <c r="B575" s="8" t="str">
        <f>"2561401012012"</f>
        <v>2561401012012</v>
      </c>
      <c r="C575" s="8" t="s">
        <v>7</v>
      </c>
      <c r="D575" s="9">
        <v>51.99</v>
      </c>
      <c r="E575" s="8">
        <v>206</v>
      </c>
    </row>
    <row r="576" s="3" customFormat="1" ht="18.75" spans="1:5">
      <c r="A576" s="8" t="str">
        <f t="shared" si="10"/>
        <v>250003</v>
      </c>
      <c r="B576" s="8" t="str">
        <f>"2561401011320"</f>
        <v>2561401011320</v>
      </c>
      <c r="C576" s="8" t="s">
        <v>7</v>
      </c>
      <c r="D576" s="9">
        <v>51.93</v>
      </c>
      <c r="E576" s="8">
        <v>207</v>
      </c>
    </row>
    <row r="577" s="3" customFormat="1" ht="18.75" spans="1:5">
      <c r="A577" s="8" t="str">
        <f t="shared" si="10"/>
        <v>250003</v>
      </c>
      <c r="B577" s="8" t="str">
        <f>"2561401011723"</f>
        <v>2561401011723</v>
      </c>
      <c r="C577" s="8" t="s">
        <v>7</v>
      </c>
      <c r="D577" s="9">
        <v>51.76</v>
      </c>
      <c r="E577" s="8">
        <v>208</v>
      </c>
    </row>
    <row r="578" s="3" customFormat="1" ht="18.75" spans="1:5">
      <c r="A578" s="8" t="str">
        <f t="shared" si="10"/>
        <v>250003</v>
      </c>
      <c r="B578" s="8" t="str">
        <f>"2561401012623"</f>
        <v>2561401012623</v>
      </c>
      <c r="C578" s="8" t="s">
        <v>7</v>
      </c>
      <c r="D578" s="9">
        <v>51.75</v>
      </c>
      <c r="E578" s="8">
        <v>209</v>
      </c>
    </row>
    <row r="579" s="3" customFormat="1" ht="18.75" spans="1:5">
      <c r="A579" s="8" t="str">
        <f t="shared" si="10"/>
        <v>250003</v>
      </c>
      <c r="B579" s="8" t="str">
        <f>"2561401011427"</f>
        <v>2561401011427</v>
      </c>
      <c r="C579" s="8" t="s">
        <v>7</v>
      </c>
      <c r="D579" s="9">
        <v>51.67</v>
      </c>
      <c r="E579" s="8">
        <v>210</v>
      </c>
    </row>
    <row r="580" s="3" customFormat="1" ht="18.75" spans="1:5">
      <c r="A580" s="8" t="str">
        <f t="shared" si="10"/>
        <v>250003</v>
      </c>
      <c r="B580" s="8" t="str">
        <f>"2561401012603"</f>
        <v>2561401012603</v>
      </c>
      <c r="C580" s="8" t="s">
        <v>7</v>
      </c>
      <c r="D580" s="9">
        <v>51.63</v>
      </c>
      <c r="E580" s="8">
        <v>211</v>
      </c>
    </row>
    <row r="581" s="3" customFormat="1" ht="18.75" spans="1:5">
      <c r="A581" s="8" t="str">
        <f t="shared" si="10"/>
        <v>250003</v>
      </c>
      <c r="B581" s="8" t="str">
        <f>"2561401011524"</f>
        <v>2561401011524</v>
      </c>
      <c r="C581" s="8" t="s">
        <v>7</v>
      </c>
      <c r="D581" s="9">
        <v>51.59</v>
      </c>
      <c r="E581" s="8">
        <v>212</v>
      </c>
    </row>
    <row r="582" s="3" customFormat="1" ht="18.75" spans="1:5">
      <c r="A582" s="8" t="str">
        <f t="shared" si="10"/>
        <v>250003</v>
      </c>
      <c r="B582" s="8" t="str">
        <f>"2561401012017"</f>
        <v>2561401012017</v>
      </c>
      <c r="C582" s="8" t="s">
        <v>7</v>
      </c>
      <c r="D582" s="9">
        <v>51.58</v>
      </c>
      <c r="E582" s="8">
        <v>213</v>
      </c>
    </row>
    <row r="583" s="3" customFormat="1" ht="18.75" spans="1:5">
      <c r="A583" s="8" t="str">
        <f t="shared" si="10"/>
        <v>250003</v>
      </c>
      <c r="B583" s="8" t="str">
        <f>"2561401012005"</f>
        <v>2561401012005</v>
      </c>
      <c r="C583" s="8" t="s">
        <v>7</v>
      </c>
      <c r="D583" s="9">
        <v>51.57</v>
      </c>
      <c r="E583" s="8">
        <v>214</v>
      </c>
    </row>
    <row r="584" s="3" customFormat="1" ht="18.75" spans="1:5">
      <c r="A584" s="8" t="str">
        <f t="shared" si="10"/>
        <v>250003</v>
      </c>
      <c r="B584" s="8" t="str">
        <f>"2561401011608"</f>
        <v>2561401011608</v>
      </c>
      <c r="C584" s="8" t="s">
        <v>7</v>
      </c>
      <c r="D584" s="9">
        <v>51.55</v>
      </c>
      <c r="E584" s="8">
        <v>215</v>
      </c>
    </row>
    <row r="585" s="3" customFormat="1" ht="18.75" spans="1:5">
      <c r="A585" s="8" t="str">
        <f t="shared" si="10"/>
        <v>250003</v>
      </c>
      <c r="B585" s="8" t="str">
        <f>"2561401012004"</f>
        <v>2561401012004</v>
      </c>
      <c r="C585" s="8" t="s">
        <v>7</v>
      </c>
      <c r="D585" s="9">
        <v>51.54</v>
      </c>
      <c r="E585" s="8">
        <v>216</v>
      </c>
    </row>
    <row r="586" s="3" customFormat="1" ht="18.75" spans="1:5">
      <c r="A586" s="8" t="str">
        <f t="shared" si="10"/>
        <v>250003</v>
      </c>
      <c r="B586" s="8" t="str">
        <f>"2561401011417"</f>
        <v>2561401011417</v>
      </c>
      <c r="C586" s="8" t="s">
        <v>7</v>
      </c>
      <c r="D586" s="9">
        <v>51.52</v>
      </c>
      <c r="E586" s="8">
        <v>217</v>
      </c>
    </row>
    <row r="587" s="3" customFormat="1" ht="18.75" spans="1:5">
      <c r="A587" s="8" t="str">
        <f t="shared" si="10"/>
        <v>250003</v>
      </c>
      <c r="B587" s="8" t="str">
        <f>"2561401011716"</f>
        <v>2561401011716</v>
      </c>
      <c r="C587" s="8" t="s">
        <v>7</v>
      </c>
      <c r="D587" s="9">
        <v>51.3</v>
      </c>
      <c r="E587" s="8">
        <v>218</v>
      </c>
    </row>
    <row r="588" s="3" customFormat="1" ht="18.75" spans="1:5">
      <c r="A588" s="8" t="str">
        <f t="shared" si="10"/>
        <v>250003</v>
      </c>
      <c r="B588" s="8" t="str">
        <f>"2561401012717"</f>
        <v>2561401012717</v>
      </c>
      <c r="C588" s="8" t="s">
        <v>7</v>
      </c>
      <c r="D588" s="9">
        <v>51.28</v>
      </c>
      <c r="E588" s="8">
        <v>219</v>
      </c>
    </row>
    <row r="589" s="3" customFormat="1" ht="18.75" spans="1:5">
      <c r="A589" s="8" t="str">
        <f t="shared" si="10"/>
        <v>250003</v>
      </c>
      <c r="B589" s="8" t="str">
        <f>"2561401011721"</f>
        <v>2561401011721</v>
      </c>
      <c r="C589" s="8" t="s">
        <v>7</v>
      </c>
      <c r="D589" s="9">
        <v>51.25</v>
      </c>
      <c r="E589" s="8">
        <v>220</v>
      </c>
    </row>
    <row r="590" s="3" customFormat="1" ht="18.75" spans="1:5">
      <c r="A590" s="8" t="str">
        <f t="shared" si="10"/>
        <v>250003</v>
      </c>
      <c r="B590" s="8" t="str">
        <f>"2561401012414"</f>
        <v>2561401012414</v>
      </c>
      <c r="C590" s="8" t="s">
        <v>7</v>
      </c>
      <c r="D590" s="9">
        <v>51.12</v>
      </c>
      <c r="E590" s="8">
        <v>221</v>
      </c>
    </row>
    <row r="591" s="3" customFormat="1" ht="18.75" spans="1:5">
      <c r="A591" s="8" t="str">
        <f t="shared" si="10"/>
        <v>250003</v>
      </c>
      <c r="B591" s="8" t="str">
        <f>"2561401012129"</f>
        <v>2561401012129</v>
      </c>
      <c r="C591" s="8" t="s">
        <v>7</v>
      </c>
      <c r="D591" s="9">
        <v>51.09</v>
      </c>
      <c r="E591" s="8">
        <v>222</v>
      </c>
    </row>
    <row r="592" s="3" customFormat="1" ht="18.75" spans="1:5">
      <c r="A592" s="8" t="str">
        <f t="shared" si="10"/>
        <v>250003</v>
      </c>
      <c r="B592" s="8" t="str">
        <f>"2561401012704"</f>
        <v>2561401012704</v>
      </c>
      <c r="C592" s="8" t="s">
        <v>7</v>
      </c>
      <c r="D592" s="9">
        <v>51.04</v>
      </c>
      <c r="E592" s="8">
        <v>223</v>
      </c>
    </row>
    <row r="593" s="3" customFormat="1" ht="18.75" spans="1:5">
      <c r="A593" s="8" t="str">
        <f t="shared" si="10"/>
        <v>250003</v>
      </c>
      <c r="B593" s="8" t="str">
        <f>"2561401011310"</f>
        <v>2561401011310</v>
      </c>
      <c r="C593" s="8" t="s">
        <v>7</v>
      </c>
      <c r="D593" s="9">
        <v>51.01</v>
      </c>
      <c r="E593" s="8">
        <v>224</v>
      </c>
    </row>
    <row r="594" s="3" customFormat="1" ht="18.75" spans="1:5">
      <c r="A594" s="8" t="str">
        <f t="shared" si="10"/>
        <v>250003</v>
      </c>
      <c r="B594" s="8" t="str">
        <f>"2561401012320"</f>
        <v>2561401012320</v>
      </c>
      <c r="C594" s="8" t="s">
        <v>7</v>
      </c>
      <c r="D594" s="9">
        <v>50.9</v>
      </c>
      <c r="E594" s="8">
        <v>225</v>
      </c>
    </row>
    <row r="595" s="3" customFormat="1" ht="18.75" spans="1:5">
      <c r="A595" s="8" t="str">
        <f t="shared" si="10"/>
        <v>250003</v>
      </c>
      <c r="B595" s="8" t="str">
        <f>"2561401011826"</f>
        <v>2561401011826</v>
      </c>
      <c r="C595" s="8" t="s">
        <v>7</v>
      </c>
      <c r="D595" s="9">
        <v>50.83</v>
      </c>
      <c r="E595" s="8">
        <v>226</v>
      </c>
    </row>
    <row r="596" s="3" customFormat="1" ht="18.75" spans="1:5">
      <c r="A596" s="8" t="str">
        <f t="shared" si="10"/>
        <v>250003</v>
      </c>
      <c r="B596" s="8" t="str">
        <f>"2561401011715"</f>
        <v>2561401011715</v>
      </c>
      <c r="C596" s="8" t="s">
        <v>7</v>
      </c>
      <c r="D596" s="9">
        <v>50.82</v>
      </c>
      <c r="E596" s="8">
        <v>227</v>
      </c>
    </row>
    <row r="597" s="3" customFormat="1" ht="18.75" spans="1:5">
      <c r="A597" s="8" t="str">
        <f t="shared" si="10"/>
        <v>250003</v>
      </c>
      <c r="B597" s="8" t="str">
        <f>"2561401012526"</f>
        <v>2561401012526</v>
      </c>
      <c r="C597" s="8" t="s">
        <v>7</v>
      </c>
      <c r="D597" s="9">
        <v>50.7</v>
      </c>
      <c r="E597" s="8">
        <v>228</v>
      </c>
    </row>
    <row r="598" s="3" customFormat="1" ht="18.75" spans="1:5">
      <c r="A598" s="8" t="str">
        <f t="shared" si="10"/>
        <v>250003</v>
      </c>
      <c r="B598" s="8" t="str">
        <f>"2561401012618"</f>
        <v>2561401012618</v>
      </c>
      <c r="C598" s="8" t="s">
        <v>7</v>
      </c>
      <c r="D598" s="9">
        <v>50.63</v>
      </c>
      <c r="E598" s="8">
        <v>229</v>
      </c>
    </row>
    <row r="599" s="3" customFormat="1" ht="18.75" spans="1:5">
      <c r="A599" s="8" t="str">
        <f t="shared" si="10"/>
        <v>250003</v>
      </c>
      <c r="B599" s="8" t="str">
        <f>"2561401012727"</f>
        <v>2561401012727</v>
      </c>
      <c r="C599" s="8" t="s">
        <v>7</v>
      </c>
      <c r="D599" s="9">
        <v>50.43</v>
      </c>
      <c r="E599" s="8">
        <v>230</v>
      </c>
    </row>
    <row r="600" s="3" customFormat="1" ht="18.75" spans="1:5">
      <c r="A600" s="8" t="str">
        <f t="shared" si="10"/>
        <v>250003</v>
      </c>
      <c r="B600" s="8" t="str">
        <f>"2561401012410"</f>
        <v>2561401012410</v>
      </c>
      <c r="C600" s="8" t="s">
        <v>7</v>
      </c>
      <c r="D600" s="9">
        <v>50.27</v>
      </c>
      <c r="E600" s="8">
        <v>231</v>
      </c>
    </row>
    <row r="601" s="3" customFormat="1" ht="18.75" spans="1:5">
      <c r="A601" s="8" t="str">
        <f t="shared" si="10"/>
        <v>250003</v>
      </c>
      <c r="B601" s="8" t="str">
        <f>"2561401012721"</f>
        <v>2561401012721</v>
      </c>
      <c r="C601" s="8" t="s">
        <v>7</v>
      </c>
      <c r="D601" s="9">
        <v>50.23</v>
      </c>
      <c r="E601" s="8">
        <v>232</v>
      </c>
    </row>
    <row r="602" s="3" customFormat="1" ht="18.75" spans="1:5">
      <c r="A602" s="8" t="str">
        <f t="shared" si="10"/>
        <v>250003</v>
      </c>
      <c r="B602" s="8" t="str">
        <f>"2561401011526"</f>
        <v>2561401011526</v>
      </c>
      <c r="C602" s="8" t="s">
        <v>7</v>
      </c>
      <c r="D602" s="9">
        <v>50.16</v>
      </c>
      <c r="E602" s="8">
        <v>233</v>
      </c>
    </row>
    <row r="603" s="3" customFormat="1" ht="18.75" spans="1:5">
      <c r="A603" s="8" t="str">
        <f t="shared" si="10"/>
        <v>250003</v>
      </c>
      <c r="B603" s="8" t="str">
        <f>"2561401011322"</f>
        <v>2561401011322</v>
      </c>
      <c r="C603" s="8" t="s">
        <v>7</v>
      </c>
      <c r="D603" s="9">
        <v>50.07</v>
      </c>
      <c r="E603" s="8">
        <v>234</v>
      </c>
    </row>
    <row r="604" s="3" customFormat="1" ht="18.75" spans="1:5">
      <c r="A604" s="8" t="str">
        <f t="shared" si="10"/>
        <v>250003</v>
      </c>
      <c r="B604" s="8" t="str">
        <f>"2561401011911"</f>
        <v>2561401011911</v>
      </c>
      <c r="C604" s="8" t="s">
        <v>7</v>
      </c>
      <c r="D604" s="9">
        <v>50</v>
      </c>
      <c r="E604" s="8">
        <v>235</v>
      </c>
    </row>
    <row r="605" s="3" customFormat="1" ht="18.75" spans="1:5">
      <c r="A605" s="8" t="str">
        <f t="shared" si="10"/>
        <v>250003</v>
      </c>
      <c r="B605" s="8" t="str">
        <f>"2561401012504"</f>
        <v>2561401012504</v>
      </c>
      <c r="C605" s="8" t="s">
        <v>7</v>
      </c>
      <c r="D605" s="9">
        <v>49.83</v>
      </c>
      <c r="E605" s="8">
        <v>236</v>
      </c>
    </row>
    <row r="606" s="3" customFormat="1" ht="18.75" spans="1:5">
      <c r="A606" s="8" t="str">
        <f t="shared" si="10"/>
        <v>250003</v>
      </c>
      <c r="B606" s="8" t="str">
        <f>"2561401011523"</f>
        <v>2561401011523</v>
      </c>
      <c r="C606" s="8" t="s">
        <v>7</v>
      </c>
      <c r="D606" s="9">
        <v>49.66</v>
      </c>
      <c r="E606" s="8">
        <v>237</v>
      </c>
    </row>
    <row r="607" s="3" customFormat="1" ht="18.75" spans="1:5">
      <c r="A607" s="8" t="str">
        <f t="shared" si="10"/>
        <v>250003</v>
      </c>
      <c r="B607" s="8" t="str">
        <f>"2561401012304"</f>
        <v>2561401012304</v>
      </c>
      <c r="C607" s="8" t="s">
        <v>7</v>
      </c>
      <c r="D607" s="9">
        <v>49.59</v>
      </c>
      <c r="E607" s="8">
        <v>238</v>
      </c>
    </row>
    <row r="608" s="3" customFormat="1" ht="18.75" spans="1:5">
      <c r="A608" s="8" t="str">
        <f t="shared" si="10"/>
        <v>250003</v>
      </c>
      <c r="B608" s="8" t="str">
        <f>"2561401012718"</f>
        <v>2561401012718</v>
      </c>
      <c r="C608" s="8" t="s">
        <v>7</v>
      </c>
      <c r="D608" s="9">
        <v>49.44</v>
      </c>
      <c r="E608" s="8">
        <v>239</v>
      </c>
    </row>
    <row r="609" s="3" customFormat="1" ht="18.75" spans="1:5">
      <c r="A609" s="8" t="str">
        <f t="shared" si="10"/>
        <v>250003</v>
      </c>
      <c r="B609" s="8" t="str">
        <f>"2561401011324"</f>
        <v>2561401011324</v>
      </c>
      <c r="C609" s="8" t="s">
        <v>7</v>
      </c>
      <c r="D609" s="9">
        <v>49.42</v>
      </c>
      <c r="E609" s="8">
        <v>240</v>
      </c>
    </row>
    <row r="610" s="3" customFormat="1" ht="18.75" spans="1:5">
      <c r="A610" s="8" t="str">
        <f t="shared" si="10"/>
        <v>250003</v>
      </c>
      <c r="B610" s="8" t="str">
        <f>"2561401011913"</f>
        <v>2561401011913</v>
      </c>
      <c r="C610" s="8" t="s">
        <v>7</v>
      </c>
      <c r="D610" s="9">
        <v>49.41</v>
      </c>
      <c r="E610" s="8">
        <v>241</v>
      </c>
    </row>
    <row r="611" s="3" customFormat="1" ht="18.75" spans="1:5">
      <c r="A611" s="8" t="str">
        <f t="shared" si="10"/>
        <v>250003</v>
      </c>
      <c r="B611" s="8" t="str">
        <f>"2561401011513"</f>
        <v>2561401011513</v>
      </c>
      <c r="C611" s="8" t="s">
        <v>7</v>
      </c>
      <c r="D611" s="9">
        <v>49.36</v>
      </c>
      <c r="E611" s="8">
        <v>242</v>
      </c>
    </row>
    <row r="612" s="3" customFormat="1" ht="18.75" spans="1:5">
      <c r="A612" s="8" t="str">
        <f t="shared" si="10"/>
        <v>250003</v>
      </c>
      <c r="B612" s="8" t="str">
        <f>"2561401011804"</f>
        <v>2561401011804</v>
      </c>
      <c r="C612" s="8" t="s">
        <v>7</v>
      </c>
      <c r="D612" s="9">
        <v>49.33</v>
      </c>
      <c r="E612" s="8">
        <v>243</v>
      </c>
    </row>
    <row r="613" s="3" customFormat="1" ht="18.75" spans="1:5">
      <c r="A613" s="8" t="str">
        <f t="shared" si="10"/>
        <v>250003</v>
      </c>
      <c r="B613" s="8" t="str">
        <f>"2561401012002"</f>
        <v>2561401012002</v>
      </c>
      <c r="C613" s="8" t="s">
        <v>7</v>
      </c>
      <c r="D613" s="9">
        <v>49.3</v>
      </c>
      <c r="E613" s="8">
        <v>244</v>
      </c>
    </row>
    <row r="614" s="3" customFormat="1" ht="18.75" spans="1:5">
      <c r="A614" s="8" t="str">
        <f t="shared" si="10"/>
        <v>250003</v>
      </c>
      <c r="B614" s="8" t="str">
        <f>"2561401012612"</f>
        <v>2561401012612</v>
      </c>
      <c r="C614" s="8" t="s">
        <v>7</v>
      </c>
      <c r="D614" s="9">
        <v>48.48</v>
      </c>
      <c r="E614" s="8">
        <v>245</v>
      </c>
    </row>
    <row r="615" s="3" customFormat="1" ht="18.75" spans="1:5">
      <c r="A615" s="8" t="str">
        <f t="shared" si="10"/>
        <v>250003</v>
      </c>
      <c r="B615" s="8" t="str">
        <f>"2561401012711"</f>
        <v>2561401012711</v>
      </c>
      <c r="C615" s="8" t="s">
        <v>7</v>
      </c>
      <c r="D615" s="9">
        <v>48.47</v>
      </c>
      <c r="E615" s="8">
        <v>246</v>
      </c>
    </row>
    <row r="616" s="3" customFormat="1" ht="18.75" spans="1:5">
      <c r="A616" s="8" t="str">
        <f t="shared" si="10"/>
        <v>250003</v>
      </c>
      <c r="B616" s="8" t="str">
        <f>"2561401012104"</f>
        <v>2561401012104</v>
      </c>
      <c r="C616" s="8" t="s">
        <v>7</v>
      </c>
      <c r="D616" s="9">
        <v>48.42</v>
      </c>
      <c r="E616" s="8">
        <v>247</v>
      </c>
    </row>
    <row r="617" s="3" customFormat="1" ht="18.75" spans="1:5">
      <c r="A617" s="8" t="str">
        <f t="shared" si="10"/>
        <v>250003</v>
      </c>
      <c r="B617" s="8" t="str">
        <f>"2561401012405"</f>
        <v>2561401012405</v>
      </c>
      <c r="C617" s="8" t="s">
        <v>7</v>
      </c>
      <c r="D617" s="9">
        <v>48.4</v>
      </c>
      <c r="E617" s="8">
        <v>248</v>
      </c>
    </row>
    <row r="618" s="3" customFormat="1" ht="18.75" spans="1:5">
      <c r="A618" s="8" t="str">
        <f t="shared" si="10"/>
        <v>250003</v>
      </c>
      <c r="B618" s="8" t="str">
        <f>"2561401012516"</f>
        <v>2561401012516</v>
      </c>
      <c r="C618" s="8" t="s">
        <v>7</v>
      </c>
      <c r="D618" s="9">
        <v>48.26</v>
      </c>
      <c r="E618" s="8">
        <v>249</v>
      </c>
    </row>
    <row r="619" s="3" customFormat="1" ht="18.75" spans="1:5">
      <c r="A619" s="8" t="str">
        <f t="shared" si="10"/>
        <v>250003</v>
      </c>
      <c r="B619" s="8" t="str">
        <f>"2561401012106"</f>
        <v>2561401012106</v>
      </c>
      <c r="C619" s="8" t="s">
        <v>7</v>
      </c>
      <c r="D619" s="9">
        <v>48.24</v>
      </c>
      <c r="E619" s="8">
        <v>250</v>
      </c>
    </row>
    <row r="620" s="3" customFormat="1" ht="18.75" spans="1:5">
      <c r="A620" s="8" t="str">
        <f t="shared" si="10"/>
        <v>250003</v>
      </c>
      <c r="B620" s="8" t="str">
        <f>"2561401011816"</f>
        <v>2561401011816</v>
      </c>
      <c r="C620" s="8" t="s">
        <v>7</v>
      </c>
      <c r="D620" s="9">
        <v>48.19</v>
      </c>
      <c r="E620" s="8">
        <v>251</v>
      </c>
    </row>
    <row r="621" s="3" customFormat="1" ht="18.75" spans="1:5">
      <c r="A621" s="8" t="str">
        <f t="shared" si="10"/>
        <v>250003</v>
      </c>
      <c r="B621" s="8" t="str">
        <f>"2561401012419"</f>
        <v>2561401012419</v>
      </c>
      <c r="C621" s="8" t="s">
        <v>7</v>
      </c>
      <c r="D621" s="9">
        <v>48.14</v>
      </c>
      <c r="E621" s="8">
        <v>252</v>
      </c>
    </row>
    <row r="622" s="3" customFormat="1" ht="18.75" spans="1:5">
      <c r="A622" s="8" t="str">
        <f t="shared" si="10"/>
        <v>250003</v>
      </c>
      <c r="B622" s="8" t="str">
        <f>"2561401012225"</f>
        <v>2561401012225</v>
      </c>
      <c r="C622" s="8" t="s">
        <v>7</v>
      </c>
      <c r="D622" s="9">
        <v>48.12</v>
      </c>
      <c r="E622" s="8">
        <v>253</v>
      </c>
    </row>
    <row r="623" s="3" customFormat="1" ht="18.75" spans="1:5">
      <c r="A623" s="8" t="str">
        <f t="shared" si="10"/>
        <v>250003</v>
      </c>
      <c r="B623" s="8" t="str">
        <f>"2561401012310"</f>
        <v>2561401012310</v>
      </c>
      <c r="C623" s="8" t="s">
        <v>7</v>
      </c>
      <c r="D623" s="9">
        <v>47.96</v>
      </c>
      <c r="E623" s="8">
        <v>254</v>
      </c>
    </row>
    <row r="624" s="3" customFormat="1" ht="18.75" spans="1:5">
      <c r="A624" s="8" t="str">
        <f t="shared" si="10"/>
        <v>250003</v>
      </c>
      <c r="B624" s="8" t="str">
        <f>"2561401012403"</f>
        <v>2561401012403</v>
      </c>
      <c r="C624" s="8" t="s">
        <v>7</v>
      </c>
      <c r="D624" s="9">
        <v>47.9</v>
      </c>
      <c r="E624" s="8">
        <v>255</v>
      </c>
    </row>
    <row r="625" s="3" customFormat="1" ht="18.75" spans="1:5">
      <c r="A625" s="8" t="str">
        <f t="shared" si="10"/>
        <v>250003</v>
      </c>
      <c r="B625" s="8" t="str">
        <f>"2561401012525"</f>
        <v>2561401012525</v>
      </c>
      <c r="C625" s="8" t="s">
        <v>7</v>
      </c>
      <c r="D625" s="9">
        <v>47.85</v>
      </c>
      <c r="E625" s="8">
        <v>256</v>
      </c>
    </row>
    <row r="626" s="3" customFormat="1" ht="18.75" spans="1:5">
      <c r="A626" s="8" t="str">
        <f t="shared" ref="A626:A689" si="11">"250003"</f>
        <v>250003</v>
      </c>
      <c r="B626" s="8" t="str">
        <f>"2561401011809"</f>
        <v>2561401011809</v>
      </c>
      <c r="C626" s="8" t="s">
        <v>7</v>
      </c>
      <c r="D626" s="9">
        <v>47.63</v>
      </c>
      <c r="E626" s="8">
        <v>257</v>
      </c>
    </row>
    <row r="627" s="3" customFormat="1" ht="18.75" spans="1:5">
      <c r="A627" s="8" t="str">
        <f t="shared" si="11"/>
        <v>250003</v>
      </c>
      <c r="B627" s="8" t="str">
        <f>"2561401011428"</f>
        <v>2561401011428</v>
      </c>
      <c r="C627" s="8" t="s">
        <v>7</v>
      </c>
      <c r="D627" s="9">
        <v>47.46</v>
      </c>
      <c r="E627" s="8">
        <v>258</v>
      </c>
    </row>
    <row r="628" s="3" customFormat="1" ht="18.75" spans="1:5">
      <c r="A628" s="8" t="str">
        <f t="shared" si="11"/>
        <v>250003</v>
      </c>
      <c r="B628" s="8" t="str">
        <f>"2561401011416"</f>
        <v>2561401011416</v>
      </c>
      <c r="C628" s="8" t="s">
        <v>7</v>
      </c>
      <c r="D628" s="9">
        <v>47.28</v>
      </c>
      <c r="E628" s="8">
        <v>259</v>
      </c>
    </row>
    <row r="629" s="3" customFormat="1" ht="18.75" spans="1:5">
      <c r="A629" s="8" t="str">
        <f t="shared" si="11"/>
        <v>250003</v>
      </c>
      <c r="B629" s="8" t="str">
        <f>"2561401012604"</f>
        <v>2561401012604</v>
      </c>
      <c r="C629" s="8" t="s">
        <v>7</v>
      </c>
      <c r="D629" s="9">
        <v>47.26</v>
      </c>
      <c r="E629" s="8">
        <v>260</v>
      </c>
    </row>
    <row r="630" s="3" customFormat="1" ht="18.75" spans="1:5">
      <c r="A630" s="8" t="str">
        <f t="shared" si="11"/>
        <v>250003</v>
      </c>
      <c r="B630" s="8" t="str">
        <f>"2561401012406"</f>
        <v>2561401012406</v>
      </c>
      <c r="C630" s="8" t="s">
        <v>7</v>
      </c>
      <c r="D630" s="9">
        <v>46.78</v>
      </c>
      <c r="E630" s="8">
        <v>261</v>
      </c>
    </row>
    <row r="631" s="3" customFormat="1" ht="18.75" spans="1:5">
      <c r="A631" s="8" t="str">
        <f t="shared" si="11"/>
        <v>250003</v>
      </c>
      <c r="B631" s="8" t="str">
        <f>"2561401012724"</f>
        <v>2561401012724</v>
      </c>
      <c r="C631" s="8" t="s">
        <v>7</v>
      </c>
      <c r="D631" s="9">
        <v>46.76</v>
      </c>
      <c r="E631" s="8">
        <v>262</v>
      </c>
    </row>
    <row r="632" s="3" customFormat="1" ht="18.75" spans="1:5">
      <c r="A632" s="8" t="str">
        <f t="shared" si="11"/>
        <v>250003</v>
      </c>
      <c r="B632" s="8" t="str">
        <f>"2561401012205"</f>
        <v>2561401012205</v>
      </c>
      <c r="C632" s="8" t="s">
        <v>7</v>
      </c>
      <c r="D632" s="9">
        <v>46.58</v>
      </c>
      <c r="E632" s="8">
        <v>263</v>
      </c>
    </row>
    <row r="633" s="3" customFormat="1" ht="18.75" spans="1:5">
      <c r="A633" s="8" t="str">
        <f t="shared" si="11"/>
        <v>250003</v>
      </c>
      <c r="B633" s="8" t="str">
        <f>"2561401012422"</f>
        <v>2561401012422</v>
      </c>
      <c r="C633" s="8" t="s">
        <v>7</v>
      </c>
      <c r="D633" s="9">
        <v>46.47</v>
      </c>
      <c r="E633" s="8">
        <v>264</v>
      </c>
    </row>
    <row r="634" s="3" customFormat="1" ht="18.75" spans="1:5">
      <c r="A634" s="8" t="str">
        <f t="shared" si="11"/>
        <v>250003</v>
      </c>
      <c r="B634" s="8" t="str">
        <f>"2561401012014"</f>
        <v>2561401012014</v>
      </c>
      <c r="C634" s="8" t="s">
        <v>7</v>
      </c>
      <c r="D634" s="9">
        <v>46.38</v>
      </c>
      <c r="E634" s="8">
        <v>265</v>
      </c>
    </row>
    <row r="635" s="3" customFormat="1" ht="18.75" spans="1:5">
      <c r="A635" s="8" t="str">
        <f t="shared" si="11"/>
        <v>250003</v>
      </c>
      <c r="B635" s="8" t="str">
        <f>"2561401012125"</f>
        <v>2561401012125</v>
      </c>
      <c r="C635" s="8" t="s">
        <v>7</v>
      </c>
      <c r="D635" s="9">
        <v>46.36</v>
      </c>
      <c r="E635" s="8">
        <v>266</v>
      </c>
    </row>
    <row r="636" s="3" customFormat="1" ht="18.75" spans="1:5">
      <c r="A636" s="8" t="str">
        <f t="shared" si="11"/>
        <v>250003</v>
      </c>
      <c r="B636" s="8" t="str">
        <f>"2561401012520"</f>
        <v>2561401012520</v>
      </c>
      <c r="C636" s="8" t="s">
        <v>7</v>
      </c>
      <c r="D636" s="9">
        <v>45.74</v>
      </c>
      <c r="E636" s="8">
        <v>267</v>
      </c>
    </row>
    <row r="637" s="3" customFormat="1" ht="18.75" spans="1:5">
      <c r="A637" s="8" t="str">
        <f t="shared" si="11"/>
        <v>250003</v>
      </c>
      <c r="B637" s="8" t="str">
        <f>"2561401011430"</f>
        <v>2561401011430</v>
      </c>
      <c r="C637" s="8" t="s">
        <v>7</v>
      </c>
      <c r="D637" s="9">
        <v>45.66</v>
      </c>
      <c r="E637" s="8">
        <v>268</v>
      </c>
    </row>
    <row r="638" s="3" customFormat="1" ht="18.75" spans="1:5">
      <c r="A638" s="8" t="str">
        <f t="shared" si="11"/>
        <v>250003</v>
      </c>
      <c r="B638" s="8" t="str">
        <f>"2561401012126"</f>
        <v>2561401012126</v>
      </c>
      <c r="C638" s="8" t="s">
        <v>7</v>
      </c>
      <c r="D638" s="9">
        <v>45.26</v>
      </c>
      <c r="E638" s="8">
        <v>269</v>
      </c>
    </row>
    <row r="639" s="3" customFormat="1" ht="18.75" spans="1:5">
      <c r="A639" s="8" t="str">
        <f t="shared" si="11"/>
        <v>250003</v>
      </c>
      <c r="B639" s="8" t="str">
        <f>"2561401011409"</f>
        <v>2561401011409</v>
      </c>
      <c r="C639" s="8" t="s">
        <v>7</v>
      </c>
      <c r="D639" s="9">
        <v>45.24</v>
      </c>
      <c r="E639" s="8">
        <v>270</v>
      </c>
    </row>
    <row r="640" s="3" customFormat="1" ht="18.75" spans="1:5">
      <c r="A640" s="8" t="str">
        <f t="shared" si="11"/>
        <v>250003</v>
      </c>
      <c r="B640" s="8" t="str">
        <f>"2561401012619"</f>
        <v>2561401012619</v>
      </c>
      <c r="C640" s="8" t="s">
        <v>7</v>
      </c>
      <c r="D640" s="9">
        <v>45.12</v>
      </c>
      <c r="E640" s="8">
        <v>271</v>
      </c>
    </row>
    <row r="641" s="3" customFormat="1" ht="18.75" spans="1:5">
      <c r="A641" s="8" t="str">
        <f t="shared" si="11"/>
        <v>250003</v>
      </c>
      <c r="B641" s="8" t="str">
        <f>"2561401012611"</f>
        <v>2561401012611</v>
      </c>
      <c r="C641" s="8" t="s">
        <v>7</v>
      </c>
      <c r="D641" s="9">
        <v>44.88</v>
      </c>
      <c r="E641" s="8">
        <v>272</v>
      </c>
    </row>
    <row r="642" s="3" customFormat="1" ht="18.75" spans="1:5">
      <c r="A642" s="8" t="str">
        <f t="shared" si="11"/>
        <v>250003</v>
      </c>
      <c r="B642" s="8" t="str">
        <f>"2561401012023"</f>
        <v>2561401012023</v>
      </c>
      <c r="C642" s="8" t="s">
        <v>7</v>
      </c>
      <c r="D642" s="9">
        <v>44.54</v>
      </c>
      <c r="E642" s="8">
        <v>273</v>
      </c>
    </row>
    <row r="643" s="3" customFormat="1" ht="18.75" spans="1:5">
      <c r="A643" s="8" t="str">
        <f t="shared" si="11"/>
        <v>250003</v>
      </c>
      <c r="B643" s="8" t="str">
        <f>"2561401012224"</f>
        <v>2561401012224</v>
      </c>
      <c r="C643" s="8" t="s">
        <v>7</v>
      </c>
      <c r="D643" s="9">
        <v>44.09</v>
      </c>
      <c r="E643" s="8">
        <v>274</v>
      </c>
    </row>
    <row r="644" s="3" customFormat="1" ht="18.75" spans="1:5">
      <c r="A644" s="8" t="str">
        <f t="shared" si="11"/>
        <v>250003</v>
      </c>
      <c r="B644" s="8" t="str">
        <f>"2561401011525"</f>
        <v>2561401011525</v>
      </c>
      <c r="C644" s="8" t="s">
        <v>7</v>
      </c>
      <c r="D644" s="9">
        <v>44</v>
      </c>
      <c r="E644" s="8">
        <v>275</v>
      </c>
    </row>
    <row r="645" s="3" customFormat="1" ht="18.75" spans="1:5">
      <c r="A645" s="8" t="str">
        <f t="shared" si="11"/>
        <v>250003</v>
      </c>
      <c r="B645" s="8" t="str">
        <f>"2561401012508"</f>
        <v>2561401012508</v>
      </c>
      <c r="C645" s="8" t="s">
        <v>7</v>
      </c>
      <c r="D645" s="9">
        <v>43.55</v>
      </c>
      <c r="E645" s="8">
        <v>276</v>
      </c>
    </row>
    <row r="646" s="3" customFormat="1" ht="18.75" spans="1:5">
      <c r="A646" s="8" t="str">
        <f t="shared" si="11"/>
        <v>250003</v>
      </c>
      <c r="B646" s="8" t="str">
        <f>"2561401012323"</f>
        <v>2561401012323</v>
      </c>
      <c r="C646" s="8" t="s">
        <v>7</v>
      </c>
      <c r="D646" s="9">
        <v>43.53</v>
      </c>
      <c r="E646" s="8">
        <v>277</v>
      </c>
    </row>
    <row r="647" s="3" customFormat="1" ht="18.75" spans="1:5">
      <c r="A647" s="8" t="str">
        <f t="shared" si="11"/>
        <v>250003</v>
      </c>
      <c r="B647" s="8" t="str">
        <f>"2561401012208"</f>
        <v>2561401012208</v>
      </c>
      <c r="C647" s="8" t="s">
        <v>7</v>
      </c>
      <c r="D647" s="9">
        <v>43.39</v>
      </c>
      <c r="E647" s="8">
        <v>278</v>
      </c>
    </row>
    <row r="648" s="3" customFormat="1" ht="18.75" spans="1:5">
      <c r="A648" s="8" t="str">
        <f t="shared" si="11"/>
        <v>250003</v>
      </c>
      <c r="B648" s="8" t="str">
        <f>"2561401012021"</f>
        <v>2561401012021</v>
      </c>
      <c r="C648" s="8" t="s">
        <v>7</v>
      </c>
      <c r="D648" s="9">
        <v>43.2</v>
      </c>
      <c r="E648" s="8">
        <v>279</v>
      </c>
    </row>
    <row r="649" s="3" customFormat="1" ht="18.75" spans="1:5">
      <c r="A649" s="8" t="str">
        <f t="shared" si="11"/>
        <v>250003</v>
      </c>
      <c r="B649" s="8" t="str">
        <f>"2561401011811"</f>
        <v>2561401011811</v>
      </c>
      <c r="C649" s="8" t="s">
        <v>7</v>
      </c>
      <c r="D649" s="9">
        <v>42.93</v>
      </c>
      <c r="E649" s="8">
        <v>280</v>
      </c>
    </row>
    <row r="650" s="3" customFormat="1" ht="18.75" spans="1:5">
      <c r="A650" s="8" t="str">
        <f t="shared" si="11"/>
        <v>250003</v>
      </c>
      <c r="B650" s="8" t="str">
        <f>"2561401011307"</f>
        <v>2561401011307</v>
      </c>
      <c r="C650" s="8" t="s">
        <v>7</v>
      </c>
      <c r="D650" s="9">
        <v>42.63</v>
      </c>
      <c r="E650" s="8">
        <v>281</v>
      </c>
    </row>
    <row r="651" s="3" customFormat="1" ht="18.75" spans="1:5">
      <c r="A651" s="8" t="str">
        <f t="shared" si="11"/>
        <v>250003</v>
      </c>
      <c r="B651" s="8" t="str">
        <f>"2561401012204"</f>
        <v>2561401012204</v>
      </c>
      <c r="C651" s="8" t="s">
        <v>7</v>
      </c>
      <c r="D651" s="9">
        <v>42.61</v>
      </c>
      <c r="E651" s="8">
        <v>282</v>
      </c>
    </row>
    <row r="652" s="3" customFormat="1" ht="18.75" spans="1:5">
      <c r="A652" s="8" t="str">
        <f t="shared" si="11"/>
        <v>250003</v>
      </c>
      <c r="B652" s="8" t="str">
        <f>"2561401011328"</f>
        <v>2561401011328</v>
      </c>
      <c r="C652" s="8" t="s">
        <v>7</v>
      </c>
      <c r="D652" s="9">
        <v>42.41</v>
      </c>
      <c r="E652" s="8">
        <v>283</v>
      </c>
    </row>
    <row r="653" s="3" customFormat="1" ht="18.75" spans="1:5">
      <c r="A653" s="8" t="str">
        <f t="shared" si="11"/>
        <v>250003</v>
      </c>
      <c r="B653" s="8" t="str">
        <f>"2561401012302"</f>
        <v>2561401012302</v>
      </c>
      <c r="C653" s="8" t="s">
        <v>7</v>
      </c>
      <c r="D653" s="9">
        <v>42.4</v>
      </c>
      <c r="E653" s="8">
        <v>284</v>
      </c>
    </row>
    <row r="654" s="3" customFormat="1" ht="18.75" spans="1:5">
      <c r="A654" s="8" t="str">
        <f t="shared" si="11"/>
        <v>250003</v>
      </c>
      <c r="B654" s="8" t="str">
        <f>"2561401012325"</f>
        <v>2561401012325</v>
      </c>
      <c r="C654" s="8" t="s">
        <v>7</v>
      </c>
      <c r="D654" s="9">
        <v>42.35</v>
      </c>
      <c r="E654" s="8">
        <v>285</v>
      </c>
    </row>
    <row r="655" s="3" customFormat="1" ht="18.75" spans="1:5">
      <c r="A655" s="8" t="str">
        <f t="shared" si="11"/>
        <v>250003</v>
      </c>
      <c r="B655" s="8" t="str">
        <f>"2561401012709"</f>
        <v>2561401012709</v>
      </c>
      <c r="C655" s="8" t="s">
        <v>7</v>
      </c>
      <c r="D655" s="9">
        <v>42.24</v>
      </c>
      <c r="E655" s="8">
        <v>286</v>
      </c>
    </row>
    <row r="656" s="3" customFormat="1" ht="18.75" spans="1:5">
      <c r="A656" s="8" t="str">
        <f t="shared" si="11"/>
        <v>250003</v>
      </c>
      <c r="B656" s="8" t="str">
        <f>"2561401011801"</f>
        <v>2561401011801</v>
      </c>
      <c r="C656" s="8" t="s">
        <v>7</v>
      </c>
      <c r="D656" s="9">
        <v>42.04</v>
      </c>
      <c r="E656" s="8">
        <v>287</v>
      </c>
    </row>
    <row r="657" s="3" customFormat="1" ht="18.75" spans="1:5">
      <c r="A657" s="8" t="str">
        <f t="shared" si="11"/>
        <v>250003</v>
      </c>
      <c r="B657" s="8" t="str">
        <f>"2561401011327"</f>
        <v>2561401011327</v>
      </c>
      <c r="C657" s="8" t="s">
        <v>7</v>
      </c>
      <c r="D657" s="9">
        <v>42.01</v>
      </c>
      <c r="E657" s="8">
        <v>288</v>
      </c>
    </row>
    <row r="658" s="3" customFormat="1" ht="18.75" spans="1:5">
      <c r="A658" s="8" t="str">
        <f t="shared" si="11"/>
        <v>250003</v>
      </c>
      <c r="B658" s="8" t="str">
        <f>"2561401011730"</f>
        <v>2561401011730</v>
      </c>
      <c r="C658" s="8" t="s">
        <v>7</v>
      </c>
      <c r="D658" s="9">
        <v>41.5</v>
      </c>
      <c r="E658" s="8">
        <v>289</v>
      </c>
    </row>
    <row r="659" s="3" customFormat="1" ht="18.75" spans="1:5">
      <c r="A659" s="8" t="str">
        <f t="shared" si="11"/>
        <v>250003</v>
      </c>
      <c r="B659" s="8" t="str">
        <f>"2561401011611"</f>
        <v>2561401011611</v>
      </c>
      <c r="C659" s="8" t="s">
        <v>7</v>
      </c>
      <c r="D659" s="9">
        <v>41.39</v>
      </c>
      <c r="E659" s="8">
        <v>290</v>
      </c>
    </row>
    <row r="660" s="3" customFormat="1" ht="18.75" spans="1:5">
      <c r="A660" s="8" t="str">
        <f t="shared" si="11"/>
        <v>250003</v>
      </c>
      <c r="B660" s="8" t="str">
        <f>"2561401011906"</f>
        <v>2561401011906</v>
      </c>
      <c r="C660" s="8" t="s">
        <v>7</v>
      </c>
      <c r="D660" s="9">
        <v>41.33</v>
      </c>
      <c r="E660" s="8">
        <v>291</v>
      </c>
    </row>
    <row r="661" s="3" customFormat="1" ht="18.75" spans="1:5">
      <c r="A661" s="8" t="str">
        <f t="shared" si="11"/>
        <v>250003</v>
      </c>
      <c r="B661" s="8" t="str">
        <f>"2561401012803"</f>
        <v>2561401012803</v>
      </c>
      <c r="C661" s="8" t="s">
        <v>7</v>
      </c>
      <c r="D661" s="9">
        <v>40.62</v>
      </c>
      <c r="E661" s="8">
        <v>292</v>
      </c>
    </row>
    <row r="662" s="3" customFormat="1" ht="18.75" spans="1:5">
      <c r="A662" s="8" t="str">
        <f t="shared" si="11"/>
        <v>250003</v>
      </c>
      <c r="B662" s="8" t="str">
        <f>"2561401011707"</f>
        <v>2561401011707</v>
      </c>
      <c r="C662" s="8" t="s">
        <v>7</v>
      </c>
      <c r="D662" s="9">
        <v>39.9</v>
      </c>
      <c r="E662" s="8">
        <v>293</v>
      </c>
    </row>
    <row r="663" s="3" customFormat="1" ht="18.75" spans="1:5">
      <c r="A663" s="8" t="str">
        <f t="shared" si="11"/>
        <v>250003</v>
      </c>
      <c r="B663" s="8" t="str">
        <f>"2561401011602"</f>
        <v>2561401011602</v>
      </c>
      <c r="C663" s="8" t="s">
        <v>7</v>
      </c>
      <c r="D663" s="9">
        <v>37.99</v>
      </c>
      <c r="E663" s="8">
        <v>294</v>
      </c>
    </row>
    <row r="664" s="3" customFormat="1" ht="18.75" spans="1:5">
      <c r="A664" s="8" t="str">
        <f t="shared" si="11"/>
        <v>250003</v>
      </c>
      <c r="B664" s="8" t="str">
        <f>"2561401012115"</f>
        <v>2561401012115</v>
      </c>
      <c r="C664" s="8" t="s">
        <v>7</v>
      </c>
      <c r="D664" s="9">
        <v>37.8</v>
      </c>
      <c r="E664" s="8">
        <v>295</v>
      </c>
    </row>
    <row r="665" s="3" customFormat="1" ht="18.75" spans="1:5">
      <c r="A665" s="8" t="str">
        <f t="shared" si="11"/>
        <v>250003</v>
      </c>
      <c r="B665" s="8" t="str">
        <f>"2561401011930"</f>
        <v>2561401011930</v>
      </c>
      <c r="C665" s="8" t="s">
        <v>7</v>
      </c>
      <c r="D665" s="9">
        <v>37.57</v>
      </c>
      <c r="E665" s="8">
        <v>296</v>
      </c>
    </row>
    <row r="666" s="3" customFormat="1" ht="18.75" spans="1:5">
      <c r="A666" s="8" t="str">
        <f t="shared" si="11"/>
        <v>250003</v>
      </c>
      <c r="B666" s="8" t="str">
        <f>"2561401012313"</f>
        <v>2561401012313</v>
      </c>
      <c r="C666" s="8" t="s">
        <v>7</v>
      </c>
      <c r="D666" s="9">
        <v>36.06</v>
      </c>
      <c r="E666" s="8">
        <v>297</v>
      </c>
    </row>
    <row r="667" s="3" customFormat="1" ht="18.75" spans="1:5">
      <c r="A667" s="8" t="str">
        <f t="shared" si="11"/>
        <v>250003</v>
      </c>
      <c r="B667" s="8" t="str">
        <f>"2561401011423"</f>
        <v>2561401011423</v>
      </c>
      <c r="C667" s="8" t="s">
        <v>7</v>
      </c>
      <c r="D667" s="9">
        <v>36.01</v>
      </c>
      <c r="E667" s="8">
        <v>298</v>
      </c>
    </row>
    <row r="668" s="3" customFormat="1" ht="18.75" spans="1:5">
      <c r="A668" s="8" t="str">
        <f t="shared" si="11"/>
        <v>250003</v>
      </c>
      <c r="B668" s="8" t="str">
        <f>"2561401012714"</f>
        <v>2561401012714</v>
      </c>
      <c r="C668" s="8" t="s">
        <v>7</v>
      </c>
      <c r="D668" s="9">
        <v>35.98</v>
      </c>
      <c r="E668" s="8">
        <v>299</v>
      </c>
    </row>
    <row r="669" s="3" customFormat="1" ht="18.75" spans="1:5">
      <c r="A669" s="8" t="str">
        <f t="shared" si="11"/>
        <v>250003</v>
      </c>
      <c r="B669" s="8" t="str">
        <f>"2561401012519"</f>
        <v>2561401012519</v>
      </c>
      <c r="C669" s="8" t="s">
        <v>7</v>
      </c>
      <c r="D669" s="9">
        <v>34.92</v>
      </c>
      <c r="E669" s="8">
        <v>300</v>
      </c>
    </row>
    <row r="670" s="3" customFormat="1" ht="18.75" spans="1:5">
      <c r="A670" s="8" t="str">
        <f t="shared" si="11"/>
        <v>250003</v>
      </c>
      <c r="B670" s="8" t="str">
        <f>"2561401011517"</f>
        <v>2561401011517</v>
      </c>
      <c r="C670" s="8" t="s">
        <v>7</v>
      </c>
      <c r="D670" s="9">
        <v>34.08</v>
      </c>
      <c r="E670" s="8">
        <v>301</v>
      </c>
    </row>
    <row r="671" s="3" customFormat="1" ht="18.75" spans="1:5">
      <c r="A671" s="8" t="str">
        <f t="shared" si="11"/>
        <v>250003</v>
      </c>
      <c r="B671" s="8" t="str">
        <f>"2561401012401"</f>
        <v>2561401012401</v>
      </c>
      <c r="C671" s="8" t="s">
        <v>7</v>
      </c>
      <c r="D671" s="9">
        <v>33.06</v>
      </c>
      <c r="E671" s="8">
        <v>302</v>
      </c>
    </row>
    <row r="672" s="3" customFormat="1" ht="18.75" spans="1:5">
      <c r="A672" s="8" t="str">
        <f t="shared" si="11"/>
        <v>250003</v>
      </c>
      <c r="B672" s="8" t="str">
        <f>"2561401011905"</f>
        <v>2561401011905</v>
      </c>
      <c r="C672" s="8" t="s">
        <v>7</v>
      </c>
      <c r="D672" s="9">
        <v>31.92</v>
      </c>
      <c r="E672" s="8">
        <v>303</v>
      </c>
    </row>
    <row r="673" s="3" customFormat="1" ht="18.75" spans="1:5">
      <c r="A673" s="8" t="str">
        <f t="shared" si="11"/>
        <v>250003</v>
      </c>
      <c r="B673" s="8" t="str">
        <f>"2561401011311"</f>
        <v>2561401011311</v>
      </c>
      <c r="C673" s="8" t="s">
        <v>7</v>
      </c>
      <c r="D673" s="9">
        <v>31.9</v>
      </c>
      <c r="E673" s="8">
        <v>304</v>
      </c>
    </row>
    <row r="674" s="3" customFormat="1" ht="18.75" spans="1:5">
      <c r="A674" s="8" t="str">
        <f t="shared" si="11"/>
        <v>250003</v>
      </c>
      <c r="B674" s="8" t="str">
        <f>"2561401012404"</f>
        <v>2561401012404</v>
      </c>
      <c r="C674" s="8" t="s">
        <v>7</v>
      </c>
      <c r="D674" s="9">
        <v>30.2</v>
      </c>
      <c r="E674" s="8">
        <v>305</v>
      </c>
    </row>
    <row r="675" s="3" customFormat="1" ht="18.75" spans="1:5">
      <c r="A675" s="8" t="str">
        <f t="shared" si="11"/>
        <v>250003</v>
      </c>
      <c r="B675" s="8" t="str">
        <f>"2561401012307"</f>
        <v>2561401012307</v>
      </c>
      <c r="C675" s="8" t="s">
        <v>7</v>
      </c>
      <c r="D675" s="9">
        <v>29.52</v>
      </c>
      <c r="E675" s="8">
        <v>306</v>
      </c>
    </row>
    <row r="676" s="3" customFormat="1" ht="18.75" spans="1:5">
      <c r="A676" s="8" t="str">
        <f t="shared" si="11"/>
        <v>250003</v>
      </c>
      <c r="B676" s="8" t="str">
        <f>"2561401012723"</f>
        <v>2561401012723</v>
      </c>
      <c r="C676" s="8" t="s">
        <v>7</v>
      </c>
      <c r="D676" s="9">
        <v>28.78</v>
      </c>
      <c r="E676" s="8">
        <v>307</v>
      </c>
    </row>
    <row r="677" s="3" customFormat="1" ht="18.75" spans="1:5">
      <c r="A677" s="8" t="str">
        <f t="shared" si="11"/>
        <v>250003</v>
      </c>
      <c r="B677" s="8" t="str">
        <f>"2561401011407"</f>
        <v>2561401011407</v>
      </c>
      <c r="C677" s="8" t="s">
        <v>7</v>
      </c>
      <c r="D677" s="9">
        <v>27.84</v>
      </c>
      <c r="E677" s="8">
        <v>308</v>
      </c>
    </row>
    <row r="678" s="3" customFormat="1" ht="18.75" spans="1:5">
      <c r="A678" s="8" t="str">
        <f t="shared" si="11"/>
        <v>250003</v>
      </c>
      <c r="B678" s="8" t="str">
        <f>"2561401011309"</f>
        <v>2561401011309</v>
      </c>
      <c r="C678" s="8" t="s">
        <v>7</v>
      </c>
      <c r="D678" s="9">
        <v>0</v>
      </c>
      <c r="E678" s="8">
        <v>309</v>
      </c>
    </row>
    <row r="679" s="3" customFormat="1" ht="18.75" spans="1:5">
      <c r="A679" s="8" t="str">
        <f t="shared" si="11"/>
        <v>250003</v>
      </c>
      <c r="B679" s="8" t="str">
        <f>"2561401011314"</f>
        <v>2561401011314</v>
      </c>
      <c r="C679" s="8" t="s">
        <v>7</v>
      </c>
      <c r="D679" s="9">
        <v>0</v>
      </c>
      <c r="E679" s="8">
        <v>309</v>
      </c>
    </row>
    <row r="680" s="3" customFormat="1" ht="18.75" spans="1:5">
      <c r="A680" s="8" t="str">
        <f t="shared" si="11"/>
        <v>250003</v>
      </c>
      <c r="B680" s="8" t="str">
        <f>"2561401011318"</f>
        <v>2561401011318</v>
      </c>
      <c r="C680" s="8" t="s">
        <v>7</v>
      </c>
      <c r="D680" s="9">
        <v>0</v>
      </c>
      <c r="E680" s="8">
        <v>309</v>
      </c>
    </row>
    <row r="681" s="3" customFormat="1" ht="18.75" spans="1:5">
      <c r="A681" s="8" t="str">
        <f t="shared" si="11"/>
        <v>250003</v>
      </c>
      <c r="B681" s="8" t="str">
        <f>"2561401011325"</f>
        <v>2561401011325</v>
      </c>
      <c r="C681" s="8" t="s">
        <v>7</v>
      </c>
      <c r="D681" s="9">
        <v>0</v>
      </c>
      <c r="E681" s="8">
        <v>309</v>
      </c>
    </row>
    <row r="682" s="3" customFormat="1" ht="18.75" spans="1:5">
      <c r="A682" s="8" t="str">
        <f t="shared" si="11"/>
        <v>250003</v>
      </c>
      <c r="B682" s="8" t="str">
        <f>"2561401011326"</f>
        <v>2561401011326</v>
      </c>
      <c r="C682" s="8" t="s">
        <v>7</v>
      </c>
      <c r="D682" s="9">
        <v>0</v>
      </c>
      <c r="E682" s="8">
        <v>309</v>
      </c>
    </row>
    <row r="683" s="3" customFormat="1" ht="18.75" spans="1:5">
      <c r="A683" s="8" t="str">
        <f t="shared" si="11"/>
        <v>250003</v>
      </c>
      <c r="B683" s="8" t="str">
        <f>"2561401011329"</f>
        <v>2561401011329</v>
      </c>
      <c r="C683" s="8" t="s">
        <v>7</v>
      </c>
      <c r="D683" s="9">
        <v>0</v>
      </c>
      <c r="E683" s="8">
        <v>309</v>
      </c>
    </row>
    <row r="684" s="3" customFormat="1" ht="18.75" spans="1:5">
      <c r="A684" s="8" t="str">
        <f t="shared" si="11"/>
        <v>250003</v>
      </c>
      <c r="B684" s="8" t="str">
        <f>"2561401011403"</f>
        <v>2561401011403</v>
      </c>
      <c r="C684" s="8" t="s">
        <v>7</v>
      </c>
      <c r="D684" s="9">
        <v>0</v>
      </c>
      <c r="E684" s="8">
        <v>309</v>
      </c>
    </row>
    <row r="685" s="3" customFormat="1" ht="18.75" spans="1:5">
      <c r="A685" s="8" t="str">
        <f t="shared" si="11"/>
        <v>250003</v>
      </c>
      <c r="B685" s="8" t="str">
        <f>"2561401011405"</f>
        <v>2561401011405</v>
      </c>
      <c r="C685" s="8" t="s">
        <v>7</v>
      </c>
      <c r="D685" s="9">
        <v>0</v>
      </c>
      <c r="E685" s="8">
        <v>309</v>
      </c>
    </row>
    <row r="686" s="3" customFormat="1" ht="18.75" spans="1:5">
      <c r="A686" s="8" t="str">
        <f t="shared" si="11"/>
        <v>250003</v>
      </c>
      <c r="B686" s="8" t="str">
        <f>"2561401011410"</f>
        <v>2561401011410</v>
      </c>
      <c r="C686" s="8" t="s">
        <v>7</v>
      </c>
      <c r="D686" s="9">
        <v>0</v>
      </c>
      <c r="E686" s="8">
        <v>309</v>
      </c>
    </row>
    <row r="687" s="3" customFormat="1" ht="18.75" spans="1:5">
      <c r="A687" s="8" t="str">
        <f t="shared" si="11"/>
        <v>250003</v>
      </c>
      <c r="B687" s="8" t="str">
        <f>"2561401011413"</f>
        <v>2561401011413</v>
      </c>
      <c r="C687" s="8" t="s">
        <v>7</v>
      </c>
      <c r="D687" s="9">
        <v>0</v>
      </c>
      <c r="E687" s="8">
        <v>309</v>
      </c>
    </row>
    <row r="688" s="3" customFormat="1" ht="18.75" spans="1:5">
      <c r="A688" s="8" t="str">
        <f t="shared" si="11"/>
        <v>250003</v>
      </c>
      <c r="B688" s="8" t="str">
        <f>"2561401011415"</f>
        <v>2561401011415</v>
      </c>
      <c r="C688" s="8" t="s">
        <v>7</v>
      </c>
      <c r="D688" s="9">
        <v>0</v>
      </c>
      <c r="E688" s="8">
        <v>309</v>
      </c>
    </row>
    <row r="689" s="3" customFormat="1" ht="18.75" spans="1:5">
      <c r="A689" s="8" t="str">
        <f t="shared" si="11"/>
        <v>250003</v>
      </c>
      <c r="B689" s="8" t="str">
        <f>"2561401011419"</f>
        <v>2561401011419</v>
      </c>
      <c r="C689" s="8" t="s">
        <v>7</v>
      </c>
      <c r="D689" s="9">
        <v>0</v>
      </c>
      <c r="E689" s="8">
        <v>309</v>
      </c>
    </row>
    <row r="690" s="3" customFormat="1" ht="18.75" spans="1:5">
      <c r="A690" s="8" t="str">
        <f t="shared" ref="A690:A753" si="12">"250003"</f>
        <v>250003</v>
      </c>
      <c r="B690" s="8" t="str">
        <f>"2561401011429"</f>
        <v>2561401011429</v>
      </c>
      <c r="C690" s="8" t="s">
        <v>7</v>
      </c>
      <c r="D690" s="9">
        <v>0</v>
      </c>
      <c r="E690" s="8">
        <v>309</v>
      </c>
    </row>
    <row r="691" s="3" customFormat="1" ht="18.75" spans="1:5">
      <c r="A691" s="8" t="str">
        <f t="shared" si="12"/>
        <v>250003</v>
      </c>
      <c r="B691" s="8" t="str">
        <f>"2561401011504"</f>
        <v>2561401011504</v>
      </c>
      <c r="C691" s="8" t="s">
        <v>7</v>
      </c>
      <c r="D691" s="9">
        <v>0</v>
      </c>
      <c r="E691" s="8">
        <v>309</v>
      </c>
    </row>
    <row r="692" s="3" customFormat="1" ht="18.75" spans="1:5">
      <c r="A692" s="8" t="str">
        <f t="shared" si="12"/>
        <v>250003</v>
      </c>
      <c r="B692" s="8" t="str">
        <f>"2561401011505"</f>
        <v>2561401011505</v>
      </c>
      <c r="C692" s="8" t="s">
        <v>7</v>
      </c>
      <c r="D692" s="9">
        <v>0</v>
      </c>
      <c r="E692" s="8">
        <v>309</v>
      </c>
    </row>
    <row r="693" s="3" customFormat="1" ht="18.75" spans="1:5">
      <c r="A693" s="8" t="str">
        <f t="shared" si="12"/>
        <v>250003</v>
      </c>
      <c r="B693" s="8" t="str">
        <f>"2561401011507"</f>
        <v>2561401011507</v>
      </c>
      <c r="C693" s="8" t="s">
        <v>7</v>
      </c>
      <c r="D693" s="9">
        <v>0</v>
      </c>
      <c r="E693" s="8">
        <v>309</v>
      </c>
    </row>
    <row r="694" s="3" customFormat="1" ht="18.75" spans="1:5">
      <c r="A694" s="8" t="str">
        <f t="shared" si="12"/>
        <v>250003</v>
      </c>
      <c r="B694" s="8" t="str">
        <f>"2561401011511"</f>
        <v>2561401011511</v>
      </c>
      <c r="C694" s="8" t="s">
        <v>7</v>
      </c>
      <c r="D694" s="9">
        <v>0</v>
      </c>
      <c r="E694" s="8">
        <v>309</v>
      </c>
    </row>
    <row r="695" s="3" customFormat="1" ht="18.75" spans="1:5">
      <c r="A695" s="8" t="str">
        <f t="shared" si="12"/>
        <v>250003</v>
      </c>
      <c r="B695" s="8" t="str">
        <f>"2561401011512"</f>
        <v>2561401011512</v>
      </c>
      <c r="C695" s="8" t="s">
        <v>7</v>
      </c>
      <c r="D695" s="9">
        <v>0</v>
      </c>
      <c r="E695" s="8">
        <v>309</v>
      </c>
    </row>
    <row r="696" s="3" customFormat="1" ht="18.75" spans="1:5">
      <c r="A696" s="8" t="str">
        <f t="shared" si="12"/>
        <v>250003</v>
      </c>
      <c r="B696" s="8" t="str">
        <f>"2561401011515"</f>
        <v>2561401011515</v>
      </c>
      <c r="C696" s="8" t="s">
        <v>7</v>
      </c>
      <c r="D696" s="9">
        <v>0</v>
      </c>
      <c r="E696" s="8">
        <v>309</v>
      </c>
    </row>
    <row r="697" s="3" customFormat="1" ht="18.75" spans="1:5">
      <c r="A697" s="8" t="str">
        <f t="shared" si="12"/>
        <v>250003</v>
      </c>
      <c r="B697" s="8" t="str">
        <f>"2561401011519"</f>
        <v>2561401011519</v>
      </c>
      <c r="C697" s="8" t="s">
        <v>7</v>
      </c>
      <c r="D697" s="9">
        <v>0</v>
      </c>
      <c r="E697" s="8">
        <v>309</v>
      </c>
    </row>
    <row r="698" s="3" customFormat="1" ht="18.75" spans="1:5">
      <c r="A698" s="8" t="str">
        <f t="shared" si="12"/>
        <v>250003</v>
      </c>
      <c r="B698" s="8" t="str">
        <f>"2561401011522"</f>
        <v>2561401011522</v>
      </c>
      <c r="C698" s="8" t="s">
        <v>7</v>
      </c>
      <c r="D698" s="9">
        <v>0</v>
      </c>
      <c r="E698" s="8">
        <v>309</v>
      </c>
    </row>
    <row r="699" s="3" customFormat="1" ht="18.75" spans="1:5">
      <c r="A699" s="8" t="str">
        <f t="shared" si="12"/>
        <v>250003</v>
      </c>
      <c r="B699" s="8" t="str">
        <f>"2561401011604"</f>
        <v>2561401011604</v>
      </c>
      <c r="C699" s="8" t="s">
        <v>7</v>
      </c>
      <c r="D699" s="9">
        <v>0</v>
      </c>
      <c r="E699" s="8">
        <v>309</v>
      </c>
    </row>
    <row r="700" s="3" customFormat="1" ht="18.75" spans="1:5">
      <c r="A700" s="8" t="str">
        <f t="shared" si="12"/>
        <v>250003</v>
      </c>
      <c r="B700" s="8" t="str">
        <f>"2561401011605"</f>
        <v>2561401011605</v>
      </c>
      <c r="C700" s="8" t="s">
        <v>7</v>
      </c>
      <c r="D700" s="9">
        <v>0</v>
      </c>
      <c r="E700" s="8">
        <v>309</v>
      </c>
    </row>
    <row r="701" s="3" customFormat="1" ht="18.75" spans="1:5">
      <c r="A701" s="8" t="str">
        <f t="shared" si="12"/>
        <v>250003</v>
      </c>
      <c r="B701" s="8" t="str">
        <f>"2561401011606"</f>
        <v>2561401011606</v>
      </c>
      <c r="C701" s="8" t="s">
        <v>7</v>
      </c>
      <c r="D701" s="9">
        <v>0</v>
      </c>
      <c r="E701" s="8">
        <v>309</v>
      </c>
    </row>
    <row r="702" s="3" customFormat="1" ht="18.75" spans="1:5">
      <c r="A702" s="8" t="str">
        <f t="shared" si="12"/>
        <v>250003</v>
      </c>
      <c r="B702" s="8" t="str">
        <f>"2561401011607"</f>
        <v>2561401011607</v>
      </c>
      <c r="C702" s="8" t="s">
        <v>7</v>
      </c>
      <c r="D702" s="9">
        <v>0</v>
      </c>
      <c r="E702" s="8">
        <v>309</v>
      </c>
    </row>
    <row r="703" s="3" customFormat="1" ht="18.75" spans="1:5">
      <c r="A703" s="8" t="str">
        <f t="shared" si="12"/>
        <v>250003</v>
      </c>
      <c r="B703" s="8" t="str">
        <f>"2561401011610"</f>
        <v>2561401011610</v>
      </c>
      <c r="C703" s="8" t="s">
        <v>7</v>
      </c>
      <c r="D703" s="9">
        <v>0</v>
      </c>
      <c r="E703" s="8">
        <v>309</v>
      </c>
    </row>
    <row r="704" s="3" customFormat="1" ht="18.75" spans="1:5">
      <c r="A704" s="8" t="str">
        <f t="shared" si="12"/>
        <v>250003</v>
      </c>
      <c r="B704" s="8" t="str">
        <f>"2561401011615"</f>
        <v>2561401011615</v>
      </c>
      <c r="C704" s="8" t="s">
        <v>7</v>
      </c>
      <c r="D704" s="9">
        <v>0</v>
      </c>
      <c r="E704" s="8">
        <v>309</v>
      </c>
    </row>
    <row r="705" s="3" customFormat="1" ht="18.75" spans="1:5">
      <c r="A705" s="8" t="str">
        <f t="shared" si="12"/>
        <v>250003</v>
      </c>
      <c r="B705" s="8" t="str">
        <f>"2561401011620"</f>
        <v>2561401011620</v>
      </c>
      <c r="C705" s="8" t="s">
        <v>7</v>
      </c>
      <c r="D705" s="9">
        <v>0</v>
      </c>
      <c r="E705" s="8">
        <v>309</v>
      </c>
    </row>
    <row r="706" s="3" customFormat="1" ht="18.75" spans="1:5">
      <c r="A706" s="8" t="str">
        <f t="shared" si="12"/>
        <v>250003</v>
      </c>
      <c r="B706" s="8" t="str">
        <f>"2561401011621"</f>
        <v>2561401011621</v>
      </c>
      <c r="C706" s="8" t="s">
        <v>7</v>
      </c>
      <c r="D706" s="9">
        <v>0</v>
      </c>
      <c r="E706" s="8">
        <v>309</v>
      </c>
    </row>
    <row r="707" s="3" customFormat="1" ht="18.75" spans="1:5">
      <c r="A707" s="8" t="str">
        <f t="shared" si="12"/>
        <v>250003</v>
      </c>
      <c r="B707" s="8" t="str">
        <f>"2561401011622"</f>
        <v>2561401011622</v>
      </c>
      <c r="C707" s="8" t="s">
        <v>7</v>
      </c>
      <c r="D707" s="9">
        <v>0</v>
      </c>
      <c r="E707" s="8">
        <v>309</v>
      </c>
    </row>
    <row r="708" s="3" customFormat="1" ht="18.75" spans="1:5">
      <c r="A708" s="8" t="str">
        <f t="shared" si="12"/>
        <v>250003</v>
      </c>
      <c r="B708" s="8" t="str">
        <f>"2561401011623"</f>
        <v>2561401011623</v>
      </c>
      <c r="C708" s="8" t="s">
        <v>7</v>
      </c>
      <c r="D708" s="9">
        <v>0</v>
      </c>
      <c r="E708" s="8">
        <v>309</v>
      </c>
    </row>
    <row r="709" s="3" customFormat="1" ht="18.75" spans="1:5">
      <c r="A709" s="8" t="str">
        <f t="shared" si="12"/>
        <v>250003</v>
      </c>
      <c r="B709" s="8" t="str">
        <f>"2561401011624"</f>
        <v>2561401011624</v>
      </c>
      <c r="C709" s="8" t="s">
        <v>7</v>
      </c>
      <c r="D709" s="9">
        <v>0</v>
      </c>
      <c r="E709" s="8">
        <v>309</v>
      </c>
    </row>
    <row r="710" s="3" customFormat="1" ht="18.75" spans="1:5">
      <c r="A710" s="8" t="str">
        <f t="shared" si="12"/>
        <v>250003</v>
      </c>
      <c r="B710" s="8" t="str">
        <f>"2561401011704"</f>
        <v>2561401011704</v>
      </c>
      <c r="C710" s="8" t="s">
        <v>7</v>
      </c>
      <c r="D710" s="9">
        <v>0</v>
      </c>
      <c r="E710" s="8">
        <v>309</v>
      </c>
    </row>
    <row r="711" s="3" customFormat="1" ht="18.75" spans="1:5">
      <c r="A711" s="8" t="str">
        <f t="shared" si="12"/>
        <v>250003</v>
      </c>
      <c r="B711" s="8" t="str">
        <f>"2561401011706"</f>
        <v>2561401011706</v>
      </c>
      <c r="C711" s="8" t="s">
        <v>7</v>
      </c>
      <c r="D711" s="9">
        <v>0</v>
      </c>
      <c r="E711" s="8">
        <v>309</v>
      </c>
    </row>
    <row r="712" s="3" customFormat="1" ht="18.75" spans="1:5">
      <c r="A712" s="8" t="str">
        <f t="shared" si="12"/>
        <v>250003</v>
      </c>
      <c r="B712" s="8" t="str">
        <f>"2561401011710"</f>
        <v>2561401011710</v>
      </c>
      <c r="C712" s="8" t="s">
        <v>7</v>
      </c>
      <c r="D712" s="9">
        <v>0</v>
      </c>
      <c r="E712" s="8">
        <v>309</v>
      </c>
    </row>
    <row r="713" s="3" customFormat="1" ht="18.75" spans="1:5">
      <c r="A713" s="8" t="str">
        <f t="shared" si="12"/>
        <v>250003</v>
      </c>
      <c r="B713" s="8" t="str">
        <f>"2561401011719"</f>
        <v>2561401011719</v>
      </c>
      <c r="C713" s="8" t="s">
        <v>7</v>
      </c>
      <c r="D713" s="9">
        <v>0</v>
      </c>
      <c r="E713" s="8">
        <v>309</v>
      </c>
    </row>
    <row r="714" s="3" customFormat="1" ht="18.75" spans="1:5">
      <c r="A714" s="8" t="str">
        <f t="shared" si="12"/>
        <v>250003</v>
      </c>
      <c r="B714" s="8" t="str">
        <f>"2561401011724"</f>
        <v>2561401011724</v>
      </c>
      <c r="C714" s="8" t="s">
        <v>7</v>
      </c>
      <c r="D714" s="9">
        <v>0</v>
      </c>
      <c r="E714" s="8">
        <v>309</v>
      </c>
    </row>
    <row r="715" s="3" customFormat="1" ht="18.75" spans="1:5">
      <c r="A715" s="8" t="str">
        <f t="shared" si="12"/>
        <v>250003</v>
      </c>
      <c r="B715" s="8" t="str">
        <f>"2561401011805"</f>
        <v>2561401011805</v>
      </c>
      <c r="C715" s="8" t="s">
        <v>7</v>
      </c>
      <c r="D715" s="9">
        <v>0</v>
      </c>
      <c r="E715" s="8">
        <v>309</v>
      </c>
    </row>
    <row r="716" s="3" customFormat="1" ht="18.75" spans="1:5">
      <c r="A716" s="8" t="str">
        <f t="shared" si="12"/>
        <v>250003</v>
      </c>
      <c r="B716" s="8" t="str">
        <f>"2561401011810"</f>
        <v>2561401011810</v>
      </c>
      <c r="C716" s="8" t="s">
        <v>7</v>
      </c>
      <c r="D716" s="9">
        <v>0</v>
      </c>
      <c r="E716" s="8">
        <v>309</v>
      </c>
    </row>
    <row r="717" s="3" customFormat="1" ht="18.75" spans="1:5">
      <c r="A717" s="8" t="str">
        <f t="shared" si="12"/>
        <v>250003</v>
      </c>
      <c r="B717" s="8" t="str">
        <f>"2561401011814"</f>
        <v>2561401011814</v>
      </c>
      <c r="C717" s="8" t="s">
        <v>7</v>
      </c>
      <c r="D717" s="9">
        <v>0</v>
      </c>
      <c r="E717" s="8">
        <v>309</v>
      </c>
    </row>
    <row r="718" s="3" customFormat="1" ht="18.75" spans="1:5">
      <c r="A718" s="8" t="str">
        <f t="shared" si="12"/>
        <v>250003</v>
      </c>
      <c r="B718" s="8" t="str">
        <f>"2561401011818"</f>
        <v>2561401011818</v>
      </c>
      <c r="C718" s="8" t="s">
        <v>7</v>
      </c>
      <c r="D718" s="9">
        <v>0</v>
      </c>
      <c r="E718" s="8">
        <v>309</v>
      </c>
    </row>
    <row r="719" s="3" customFormat="1" ht="18.75" spans="1:5">
      <c r="A719" s="8" t="str">
        <f t="shared" si="12"/>
        <v>250003</v>
      </c>
      <c r="B719" s="8" t="str">
        <f>"2561401011820"</f>
        <v>2561401011820</v>
      </c>
      <c r="C719" s="8" t="s">
        <v>7</v>
      </c>
      <c r="D719" s="9">
        <v>0</v>
      </c>
      <c r="E719" s="8">
        <v>309</v>
      </c>
    </row>
    <row r="720" s="3" customFormat="1" ht="18.75" spans="1:5">
      <c r="A720" s="8" t="str">
        <f t="shared" si="12"/>
        <v>250003</v>
      </c>
      <c r="B720" s="8" t="str">
        <f>"2561401011822"</f>
        <v>2561401011822</v>
      </c>
      <c r="C720" s="8" t="s">
        <v>7</v>
      </c>
      <c r="D720" s="9">
        <v>0</v>
      </c>
      <c r="E720" s="8">
        <v>309</v>
      </c>
    </row>
    <row r="721" s="3" customFormat="1" ht="18.75" spans="1:5">
      <c r="A721" s="8" t="str">
        <f t="shared" si="12"/>
        <v>250003</v>
      </c>
      <c r="B721" s="8" t="str">
        <f>"2561401011823"</f>
        <v>2561401011823</v>
      </c>
      <c r="C721" s="8" t="s">
        <v>7</v>
      </c>
      <c r="D721" s="9">
        <v>0</v>
      </c>
      <c r="E721" s="8">
        <v>309</v>
      </c>
    </row>
    <row r="722" s="3" customFormat="1" ht="18.75" spans="1:5">
      <c r="A722" s="8" t="str">
        <f t="shared" si="12"/>
        <v>250003</v>
      </c>
      <c r="B722" s="8" t="str">
        <f>"2561401011827"</f>
        <v>2561401011827</v>
      </c>
      <c r="C722" s="8" t="s">
        <v>7</v>
      </c>
      <c r="D722" s="9">
        <v>0</v>
      </c>
      <c r="E722" s="8">
        <v>309</v>
      </c>
    </row>
    <row r="723" s="3" customFormat="1" ht="18.75" spans="1:5">
      <c r="A723" s="8" t="str">
        <f t="shared" si="12"/>
        <v>250003</v>
      </c>
      <c r="B723" s="8" t="str">
        <f>"2561401011828"</f>
        <v>2561401011828</v>
      </c>
      <c r="C723" s="8" t="s">
        <v>7</v>
      </c>
      <c r="D723" s="9">
        <v>0</v>
      </c>
      <c r="E723" s="8">
        <v>309</v>
      </c>
    </row>
    <row r="724" s="3" customFormat="1" ht="18.75" spans="1:5">
      <c r="A724" s="8" t="str">
        <f t="shared" si="12"/>
        <v>250003</v>
      </c>
      <c r="B724" s="8" t="str">
        <f>"2561401011829"</f>
        <v>2561401011829</v>
      </c>
      <c r="C724" s="8" t="s">
        <v>7</v>
      </c>
      <c r="D724" s="9">
        <v>0</v>
      </c>
      <c r="E724" s="8">
        <v>309</v>
      </c>
    </row>
    <row r="725" s="3" customFormat="1" ht="18.75" spans="1:5">
      <c r="A725" s="8" t="str">
        <f t="shared" si="12"/>
        <v>250003</v>
      </c>
      <c r="B725" s="8" t="str">
        <f>"2561401011901"</f>
        <v>2561401011901</v>
      </c>
      <c r="C725" s="8" t="s">
        <v>7</v>
      </c>
      <c r="D725" s="9">
        <v>0</v>
      </c>
      <c r="E725" s="8">
        <v>309</v>
      </c>
    </row>
    <row r="726" s="3" customFormat="1" ht="18.75" spans="1:5">
      <c r="A726" s="8" t="str">
        <f t="shared" si="12"/>
        <v>250003</v>
      </c>
      <c r="B726" s="8" t="str">
        <f>"2561401011902"</f>
        <v>2561401011902</v>
      </c>
      <c r="C726" s="8" t="s">
        <v>7</v>
      </c>
      <c r="D726" s="9">
        <v>0</v>
      </c>
      <c r="E726" s="8">
        <v>309</v>
      </c>
    </row>
    <row r="727" s="3" customFormat="1" ht="18.75" spans="1:5">
      <c r="A727" s="8" t="str">
        <f t="shared" si="12"/>
        <v>250003</v>
      </c>
      <c r="B727" s="8" t="str">
        <f>"2561401011904"</f>
        <v>2561401011904</v>
      </c>
      <c r="C727" s="8" t="s">
        <v>7</v>
      </c>
      <c r="D727" s="9">
        <v>0</v>
      </c>
      <c r="E727" s="8">
        <v>309</v>
      </c>
    </row>
    <row r="728" s="3" customFormat="1" ht="18.75" spans="1:5">
      <c r="A728" s="8" t="str">
        <f t="shared" si="12"/>
        <v>250003</v>
      </c>
      <c r="B728" s="8" t="str">
        <f>"2561401011908"</f>
        <v>2561401011908</v>
      </c>
      <c r="C728" s="8" t="s">
        <v>7</v>
      </c>
      <c r="D728" s="9">
        <v>0</v>
      </c>
      <c r="E728" s="8">
        <v>309</v>
      </c>
    </row>
    <row r="729" s="3" customFormat="1" ht="18.75" spans="1:5">
      <c r="A729" s="8" t="str">
        <f t="shared" si="12"/>
        <v>250003</v>
      </c>
      <c r="B729" s="8" t="str">
        <f>"2561401011912"</f>
        <v>2561401011912</v>
      </c>
      <c r="C729" s="8" t="s">
        <v>7</v>
      </c>
      <c r="D729" s="9">
        <v>0</v>
      </c>
      <c r="E729" s="8">
        <v>309</v>
      </c>
    </row>
    <row r="730" s="3" customFormat="1" ht="18.75" spans="1:5">
      <c r="A730" s="8" t="str">
        <f t="shared" si="12"/>
        <v>250003</v>
      </c>
      <c r="B730" s="8" t="str">
        <f>"2561401011914"</f>
        <v>2561401011914</v>
      </c>
      <c r="C730" s="8" t="s">
        <v>7</v>
      </c>
      <c r="D730" s="9">
        <v>0</v>
      </c>
      <c r="E730" s="8">
        <v>309</v>
      </c>
    </row>
    <row r="731" s="3" customFormat="1" ht="18.75" spans="1:5">
      <c r="A731" s="8" t="str">
        <f t="shared" si="12"/>
        <v>250003</v>
      </c>
      <c r="B731" s="8" t="str">
        <f>"2561401011916"</f>
        <v>2561401011916</v>
      </c>
      <c r="C731" s="8" t="s">
        <v>7</v>
      </c>
      <c r="D731" s="9">
        <v>0</v>
      </c>
      <c r="E731" s="8">
        <v>309</v>
      </c>
    </row>
    <row r="732" s="3" customFormat="1" ht="18.75" spans="1:5">
      <c r="A732" s="8" t="str">
        <f t="shared" si="12"/>
        <v>250003</v>
      </c>
      <c r="B732" s="8" t="str">
        <f>"2561401011917"</f>
        <v>2561401011917</v>
      </c>
      <c r="C732" s="8" t="s">
        <v>7</v>
      </c>
      <c r="D732" s="9">
        <v>0</v>
      </c>
      <c r="E732" s="8">
        <v>309</v>
      </c>
    </row>
    <row r="733" s="3" customFormat="1" ht="18.75" spans="1:5">
      <c r="A733" s="8" t="str">
        <f t="shared" si="12"/>
        <v>250003</v>
      </c>
      <c r="B733" s="8" t="str">
        <f>"2561401011918"</f>
        <v>2561401011918</v>
      </c>
      <c r="C733" s="8" t="s">
        <v>7</v>
      </c>
      <c r="D733" s="9">
        <v>0</v>
      </c>
      <c r="E733" s="8">
        <v>309</v>
      </c>
    </row>
    <row r="734" s="3" customFormat="1" ht="18.75" spans="1:5">
      <c r="A734" s="8" t="str">
        <f t="shared" si="12"/>
        <v>250003</v>
      </c>
      <c r="B734" s="8" t="str">
        <f>"2561401011919"</f>
        <v>2561401011919</v>
      </c>
      <c r="C734" s="8" t="s">
        <v>7</v>
      </c>
      <c r="D734" s="9">
        <v>0</v>
      </c>
      <c r="E734" s="8">
        <v>309</v>
      </c>
    </row>
    <row r="735" s="3" customFormat="1" ht="18.75" spans="1:5">
      <c r="A735" s="8" t="str">
        <f t="shared" si="12"/>
        <v>250003</v>
      </c>
      <c r="B735" s="8" t="str">
        <f>"2561401011920"</f>
        <v>2561401011920</v>
      </c>
      <c r="C735" s="8" t="s">
        <v>7</v>
      </c>
      <c r="D735" s="9">
        <v>0</v>
      </c>
      <c r="E735" s="8">
        <v>309</v>
      </c>
    </row>
    <row r="736" s="3" customFormat="1" ht="18.75" spans="1:5">
      <c r="A736" s="8" t="str">
        <f t="shared" si="12"/>
        <v>250003</v>
      </c>
      <c r="B736" s="8" t="str">
        <f>"2561401011923"</f>
        <v>2561401011923</v>
      </c>
      <c r="C736" s="8" t="s">
        <v>7</v>
      </c>
      <c r="D736" s="9">
        <v>0</v>
      </c>
      <c r="E736" s="8">
        <v>309</v>
      </c>
    </row>
    <row r="737" s="3" customFormat="1" ht="18.75" spans="1:5">
      <c r="A737" s="8" t="str">
        <f t="shared" si="12"/>
        <v>250003</v>
      </c>
      <c r="B737" s="8" t="str">
        <f>"2561401011925"</f>
        <v>2561401011925</v>
      </c>
      <c r="C737" s="8" t="s">
        <v>7</v>
      </c>
      <c r="D737" s="9">
        <v>0</v>
      </c>
      <c r="E737" s="8">
        <v>309</v>
      </c>
    </row>
    <row r="738" s="3" customFormat="1" ht="18.75" spans="1:5">
      <c r="A738" s="8" t="str">
        <f t="shared" si="12"/>
        <v>250003</v>
      </c>
      <c r="B738" s="8" t="str">
        <f>"2561401011926"</f>
        <v>2561401011926</v>
      </c>
      <c r="C738" s="8" t="s">
        <v>7</v>
      </c>
      <c r="D738" s="9">
        <v>0</v>
      </c>
      <c r="E738" s="8">
        <v>309</v>
      </c>
    </row>
    <row r="739" s="3" customFormat="1" ht="18.75" spans="1:5">
      <c r="A739" s="8" t="str">
        <f t="shared" si="12"/>
        <v>250003</v>
      </c>
      <c r="B739" s="8" t="str">
        <f>"2561401011927"</f>
        <v>2561401011927</v>
      </c>
      <c r="C739" s="8" t="s">
        <v>7</v>
      </c>
      <c r="D739" s="9">
        <v>0</v>
      </c>
      <c r="E739" s="8">
        <v>309</v>
      </c>
    </row>
    <row r="740" s="3" customFormat="1" ht="18.75" spans="1:5">
      <c r="A740" s="8" t="str">
        <f t="shared" si="12"/>
        <v>250003</v>
      </c>
      <c r="B740" s="8" t="str">
        <f>"2561401011928"</f>
        <v>2561401011928</v>
      </c>
      <c r="C740" s="8" t="s">
        <v>7</v>
      </c>
      <c r="D740" s="9">
        <v>0</v>
      </c>
      <c r="E740" s="8">
        <v>309</v>
      </c>
    </row>
    <row r="741" s="3" customFormat="1" ht="18.75" spans="1:5">
      <c r="A741" s="8" t="str">
        <f t="shared" si="12"/>
        <v>250003</v>
      </c>
      <c r="B741" s="8" t="str">
        <f>"2561401011929"</f>
        <v>2561401011929</v>
      </c>
      <c r="C741" s="8" t="s">
        <v>7</v>
      </c>
      <c r="D741" s="9">
        <v>0</v>
      </c>
      <c r="E741" s="8">
        <v>309</v>
      </c>
    </row>
    <row r="742" s="3" customFormat="1" ht="18.75" spans="1:5">
      <c r="A742" s="8" t="str">
        <f t="shared" si="12"/>
        <v>250003</v>
      </c>
      <c r="B742" s="8" t="str">
        <f>"2561401012008"</f>
        <v>2561401012008</v>
      </c>
      <c r="C742" s="8" t="s">
        <v>7</v>
      </c>
      <c r="D742" s="9">
        <v>0</v>
      </c>
      <c r="E742" s="8">
        <v>309</v>
      </c>
    </row>
    <row r="743" s="3" customFormat="1" ht="18.75" spans="1:5">
      <c r="A743" s="8" t="str">
        <f t="shared" si="12"/>
        <v>250003</v>
      </c>
      <c r="B743" s="8" t="str">
        <f>"2561401012016"</f>
        <v>2561401012016</v>
      </c>
      <c r="C743" s="8" t="s">
        <v>7</v>
      </c>
      <c r="D743" s="9">
        <v>0</v>
      </c>
      <c r="E743" s="8">
        <v>309</v>
      </c>
    </row>
    <row r="744" s="3" customFormat="1" ht="18.75" spans="1:5">
      <c r="A744" s="8" t="str">
        <f t="shared" si="12"/>
        <v>250003</v>
      </c>
      <c r="B744" s="8" t="str">
        <f>"2561401012022"</f>
        <v>2561401012022</v>
      </c>
      <c r="C744" s="8" t="s">
        <v>7</v>
      </c>
      <c r="D744" s="9">
        <v>0</v>
      </c>
      <c r="E744" s="8">
        <v>309</v>
      </c>
    </row>
    <row r="745" s="3" customFormat="1" ht="18.75" spans="1:5">
      <c r="A745" s="8" t="str">
        <f t="shared" si="12"/>
        <v>250003</v>
      </c>
      <c r="B745" s="8" t="str">
        <f>"2561401012101"</f>
        <v>2561401012101</v>
      </c>
      <c r="C745" s="8" t="s">
        <v>7</v>
      </c>
      <c r="D745" s="9">
        <v>0</v>
      </c>
      <c r="E745" s="8">
        <v>309</v>
      </c>
    </row>
    <row r="746" s="3" customFormat="1" ht="18.75" spans="1:5">
      <c r="A746" s="8" t="str">
        <f t="shared" si="12"/>
        <v>250003</v>
      </c>
      <c r="B746" s="8" t="str">
        <f>"2561401012105"</f>
        <v>2561401012105</v>
      </c>
      <c r="C746" s="8" t="s">
        <v>7</v>
      </c>
      <c r="D746" s="9">
        <v>0</v>
      </c>
      <c r="E746" s="8">
        <v>309</v>
      </c>
    </row>
    <row r="747" s="3" customFormat="1" ht="18.75" spans="1:5">
      <c r="A747" s="8" t="str">
        <f t="shared" si="12"/>
        <v>250003</v>
      </c>
      <c r="B747" s="8" t="str">
        <f>"2561401012107"</f>
        <v>2561401012107</v>
      </c>
      <c r="C747" s="8" t="s">
        <v>7</v>
      </c>
      <c r="D747" s="9">
        <v>0</v>
      </c>
      <c r="E747" s="8">
        <v>309</v>
      </c>
    </row>
    <row r="748" s="3" customFormat="1" ht="18.75" spans="1:5">
      <c r="A748" s="8" t="str">
        <f t="shared" si="12"/>
        <v>250003</v>
      </c>
      <c r="B748" s="8" t="str">
        <f>"2561401012110"</f>
        <v>2561401012110</v>
      </c>
      <c r="C748" s="8" t="s">
        <v>7</v>
      </c>
      <c r="D748" s="9">
        <v>0</v>
      </c>
      <c r="E748" s="8">
        <v>309</v>
      </c>
    </row>
    <row r="749" s="3" customFormat="1" ht="18.75" spans="1:5">
      <c r="A749" s="8" t="str">
        <f t="shared" si="12"/>
        <v>250003</v>
      </c>
      <c r="B749" s="8" t="str">
        <f>"2561401012111"</f>
        <v>2561401012111</v>
      </c>
      <c r="C749" s="8" t="s">
        <v>7</v>
      </c>
      <c r="D749" s="9">
        <v>0</v>
      </c>
      <c r="E749" s="8">
        <v>309</v>
      </c>
    </row>
    <row r="750" s="3" customFormat="1" ht="18.75" spans="1:5">
      <c r="A750" s="8" t="str">
        <f t="shared" si="12"/>
        <v>250003</v>
      </c>
      <c r="B750" s="8" t="str">
        <f>"2561401012112"</f>
        <v>2561401012112</v>
      </c>
      <c r="C750" s="8" t="s">
        <v>7</v>
      </c>
      <c r="D750" s="9">
        <v>0</v>
      </c>
      <c r="E750" s="8">
        <v>309</v>
      </c>
    </row>
    <row r="751" s="3" customFormat="1" ht="18.75" spans="1:5">
      <c r="A751" s="8" t="str">
        <f t="shared" si="12"/>
        <v>250003</v>
      </c>
      <c r="B751" s="8" t="str">
        <f>"2561401012114"</f>
        <v>2561401012114</v>
      </c>
      <c r="C751" s="8" t="s">
        <v>7</v>
      </c>
      <c r="D751" s="9">
        <v>0</v>
      </c>
      <c r="E751" s="8">
        <v>309</v>
      </c>
    </row>
    <row r="752" s="3" customFormat="1" ht="18.75" spans="1:5">
      <c r="A752" s="8" t="str">
        <f t="shared" si="12"/>
        <v>250003</v>
      </c>
      <c r="B752" s="8" t="str">
        <f>"2561401012117"</f>
        <v>2561401012117</v>
      </c>
      <c r="C752" s="8" t="s">
        <v>7</v>
      </c>
      <c r="D752" s="9">
        <v>0</v>
      </c>
      <c r="E752" s="8">
        <v>309</v>
      </c>
    </row>
    <row r="753" s="3" customFormat="1" ht="18.75" spans="1:5">
      <c r="A753" s="8" t="str">
        <f t="shared" si="12"/>
        <v>250003</v>
      </c>
      <c r="B753" s="8" t="str">
        <f>"2561401012119"</f>
        <v>2561401012119</v>
      </c>
      <c r="C753" s="8" t="s">
        <v>7</v>
      </c>
      <c r="D753" s="9">
        <v>0</v>
      </c>
      <c r="E753" s="8">
        <v>309</v>
      </c>
    </row>
    <row r="754" s="3" customFormat="1" ht="18.75" spans="1:5">
      <c r="A754" s="8" t="str">
        <f t="shared" ref="A754:A816" si="13">"250003"</f>
        <v>250003</v>
      </c>
      <c r="B754" s="8" t="str">
        <f>"2561401012120"</f>
        <v>2561401012120</v>
      </c>
      <c r="C754" s="8" t="s">
        <v>7</v>
      </c>
      <c r="D754" s="9">
        <v>0</v>
      </c>
      <c r="E754" s="8">
        <v>309</v>
      </c>
    </row>
    <row r="755" s="3" customFormat="1" ht="18.75" spans="1:5">
      <c r="A755" s="8" t="str">
        <f t="shared" si="13"/>
        <v>250003</v>
      </c>
      <c r="B755" s="8" t="str">
        <f>"2561401012121"</f>
        <v>2561401012121</v>
      </c>
      <c r="C755" s="8" t="s">
        <v>7</v>
      </c>
      <c r="D755" s="9">
        <v>0</v>
      </c>
      <c r="E755" s="8">
        <v>309</v>
      </c>
    </row>
    <row r="756" s="3" customFormat="1" ht="18.75" spans="1:5">
      <c r="A756" s="8" t="str">
        <f t="shared" si="13"/>
        <v>250003</v>
      </c>
      <c r="B756" s="8" t="str">
        <f>"2561401012124"</f>
        <v>2561401012124</v>
      </c>
      <c r="C756" s="8" t="s">
        <v>7</v>
      </c>
      <c r="D756" s="9">
        <v>0</v>
      </c>
      <c r="E756" s="8">
        <v>309</v>
      </c>
    </row>
    <row r="757" s="3" customFormat="1" ht="18.75" spans="1:5">
      <c r="A757" s="8" t="str">
        <f t="shared" si="13"/>
        <v>250003</v>
      </c>
      <c r="B757" s="8" t="str">
        <f>"2561401012201"</f>
        <v>2561401012201</v>
      </c>
      <c r="C757" s="8" t="s">
        <v>7</v>
      </c>
      <c r="D757" s="9">
        <v>0</v>
      </c>
      <c r="E757" s="8">
        <v>309</v>
      </c>
    </row>
    <row r="758" s="3" customFormat="1" ht="18.75" spans="1:5">
      <c r="A758" s="8" t="str">
        <f t="shared" si="13"/>
        <v>250003</v>
      </c>
      <c r="B758" s="8" t="str">
        <f>"2561401012202"</f>
        <v>2561401012202</v>
      </c>
      <c r="C758" s="8" t="s">
        <v>7</v>
      </c>
      <c r="D758" s="9">
        <v>0</v>
      </c>
      <c r="E758" s="8">
        <v>309</v>
      </c>
    </row>
    <row r="759" s="3" customFormat="1" ht="18.75" spans="1:5">
      <c r="A759" s="8" t="str">
        <f t="shared" si="13"/>
        <v>250003</v>
      </c>
      <c r="B759" s="8" t="str">
        <f>"2561401012203"</f>
        <v>2561401012203</v>
      </c>
      <c r="C759" s="8" t="s">
        <v>7</v>
      </c>
      <c r="D759" s="9">
        <v>0</v>
      </c>
      <c r="E759" s="8">
        <v>309</v>
      </c>
    </row>
    <row r="760" s="3" customFormat="1" ht="18.75" spans="1:5">
      <c r="A760" s="8" t="str">
        <f t="shared" si="13"/>
        <v>250003</v>
      </c>
      <c r="B760" s="8" t="str">
        <f>"2561401012206"</f>
        <v>2561401012206</v>
      </c>
      <c r="C760" s="8" t="s">
        <v>7</v>
      </c>
      <c r="D760" s="9">
        <v>0</v>
      </c>
      <c r="E760" s="8">
        <v>309</v>
      </c>
    </row>
    <row r="761" s="3" customFormat="1" ht="18.75" spans="1:5">
      <c r="A761" s="8" t="str">
        <f t="shared" si="13"/>
        <v>250003</v>
      </c>
      <c r="B761" s="8" t="str">
        <f>"2561401012207"</f>
        <v>2561401012207</v>
      </c>
      <c r="C761" s="8" t="s">
        <v>7</v>
      </c>
      <c r="D761" s="9">
        <v>0</v>
      </c>
      <c r="E761" s="8">
        <v>309</v>
      </c>
    </row>
    <row r="762" s="3" customFormat="1" ht="18.75" spans="1:5">
      <c r="A762" s="8" t="str">
        <f t="shared" si="13"/>
        <v>250003</v>
      </c>
      <c r="B762" s="8" t="str">
        <f>"2561401012209"</f>
        <v>2561401012209</v>
      </c>
      <c r="C762" s="8" t="s">
        <v>7</v>
      </c>
      <c r="D762" s="9">
        <v>0</v>
      </c>
      <c r="E762" s="8">
        <v>309</v>
      </c>
    </row>
    <row r="763" s="3" customFormat="1" ht="18.75" spans="1:5">
      <c r="A763" s="8" t="str">
        <f t="shared" si="13"/>
        <v>250003</v>
      </c>
      <c r="B763" s="8" t="str">
        <f>"2561401012211"</f>
        <v>2561401012211</v>
      </c>
      <c r="C763" s="8" t="s">
        <v>7</v>
      </c>
      <c r="D763" s="9">
        <v>0</v>
      </c>
      <c r="E763" s="8">
        <v>309</v>
      </c>
    </row>
    <row r="764" s="3" customFormat="1" ht="18.75" spans="1:5">
      <c r="A764" s="8" t="str">
        <f t="shared" si="13"/>
        <v>250003</v>
      </c>
      <c r="B764" s="8" t="str">
        <f>"2561401012213"</f>
        <v>2561401012213</v>
      </c>
      <c r="C764" s="8" t="s">
        <v>7</v>
      </c>
      <c r="D764" s="9">
        <v>0</v>
      </c>
      <c r="E764" s="8">
        <v>309</v>
      </c>
    </row>
    <row r="765" s="3" customFormat="1" ht="18.75" spans="1:5">
      <c r="A765" s="8" t="str">
        <f t="shared" si="13"/>
        <v>250003</v>
      </c>
      <c r="B765" s="8" t="str">
        <f>"2561401012217"</f>
        <v>2561401012217</v>
      </c>
      <c r="C765" s="8" t="s">
        <v>7</v>
      </c>
      <c r="D765" s="9">
        <v>0</v>
      </c>
      <c r="E765" s="8">
        <v>309</v>
      </c>
    </row>
    <row r="766" s="3" customFormat="1" ht="18.75" spans="1:5">
      <c r="A766" s="8" t="str">
        <f t="shared" si="13"/>
        <v>250003</v>
      </c>
      <c r="B766" s="8" t="str">
        <f>"2561401012218"</f>
        <v>2561401012218</v>
      </c>
      <c r="C766" s="8" t="s">
        <v>7</v>
      </c>
      <c r="D766" s="9">
        <v>0</v>
      </c>
      <c r="E766" s="8">
        <v>309</v>
      </c>
    </row>
    <row r="767" s="3" customFormat="1" ht="18.75" spans="1:5">
      <c r="A767" s="8" t="str">
        <f t="shared" si="13"/>
        <v>250003</v>
      </c>
      <c r="B767" s="8" t="str">
        <f>"2561401012219"</f>
        <v>2561401012219</v>
      </c>
      <c r="C767" s="8" t="s">
        <v>7</v>
      </c>
      <c r="D767" s="9">
        <v>0</v>
      </c>
      <c r="E767" s="8">
        <v>309</v>
      </c>
    </row>
    <row r="768" s="3" customFormat="1" ht="18.75" spans="1:5">
      <c r="A768" s="8" t="str">
        <f t="shared" si="13"/>
        <v>250003</v>
      </c>
      <c r="B768" s="8" t="str">
        <f>"2561401012226"</f>
        <v>2561401012226</v>
      </c>
      <c r="C768" s="8" t="s">
        <v>7</v>
      </c>
      <c r="D768" s="9">
        <v>0</v>
      </c>
      <c r="E768" s="8">
        <v>309</v>
      </c>
    </row>
    <row r="769" s="3" customFormat="1" ht="18.75" spans="1:5">
      <c r="A769" s="8" t="str">
        <f t="shared" si="13"/>
        <v>250003</v>
      </c>
      <c r="B769" s="8" t="str">
        <f>"2561401012301"</f>
        <v>2561401012301</v>
      </c>
      <c r="C769" s="8" t="s">
        <v>7</v>
      </c>
      <c r="D769" s="9">
        <v>0</v>
      </c>
      <c r="E769" s="8">
        <v>309</v>
      </c>
    </row>
    <row r="770" s="3" customFormat="1" ht="18.75" spans="1:5">
      <c r="A770" s="8" t="str">
        <f t="shared" si="13"/>
        <v>250003</v>
      </c>
      <c r="B770" s="8" t="str">
        <f>"2561401012306"</f>
        <v>2561401012306</v>
      </c>
      <c r="C770" s="8" t="s">
        <v>7</v>
      </c>
      <c r="D770" s="9">
        <v>0</v>
      </c>
      <c r="E770" s="8">
        <v>309</v>
      </c>
    </row>
    <row r="771" s="3" customFormat="1" ht="18.75" spans="1:5">
      <c r="A771" s="8" t="str">
        <f t="shared" si="13"/>
        <v>250003</v>
      </c>
      <c r="B771" s="8" t="str">
        <f>"2561401012311"</f>
        <v>2561401012311</v>
      </c>
      <c r="C771" s="8" t="s">
        <v>7</v>
      </c>
      <c r="D771" s="9">
        <v>0</v>
      </c>
      <c r="E771" s="8">
        <v>309</v>
      </c>
    </row>
    <row r="772" s="3" customFormat="1" ht="18.75" spans="1:5">
      <c r="A772" s="8" t="str">
        <f t="shared" si="13"/>
        <v>250003</v>
      </c>
      <c r="B772" s="8" t="str">
        <f>"2561401012314"</f>
        <v>2561401012314</v>
      </c>
      <c r="C772" s="8" t="s">
        <v>7</v>
      </c>
      <c r="D772" s="9">
        <v>0</v>
      </c>
      <c r="E772" s="8">
        <v>309</v>
      </c>
    </row>
    <row r="773" s="3" customFormat="1" ht="18.75" spans="1:5">
      <c r="A773" s="8" t="str">
        <f t="shared" si="13"/>
        <v>250003</v>
      </c>
      <c r="B773" s="8" t="str">
        <f>"2561401012316"</f>
        <v>2561401012316</v>
      </c>
      <c r="C773" s="8" t="s">
        <v>7</v>
      </c>
      <c r="D773" s="9">
        <v>0</v>
      </c>
      <c r="E773" s="8">
        <v>309</v>
      </c>
    </row>
    <row r="774" s="3" customFormat="1" ht="18.75" spans="1:5">
      <c r="A774" s="8" t="str">
        <f t="shared" si="13"/>
        <v>250003</v>
      </c>
      <c r="B774" s="8" t="str">
        <f>"2561401012317"</f>
        <v>2561401012317</v>
      </c>
      <c r="C774" s="8" t="s">
        <v>7</v>
      </c>
      <c r="D774" s="9">
        <v>0</v>
      </c>
      <c r="E774" s="8">
        <v>309</v>
      </c>
    </row>
    <row r="775" s="3" customFormat="1" ht="18.75" spans="1:5">
      <c r="A775" s="8" t="str">
        <f t="shared" si="13"/>
        <v>250003</v>
      </c>
      <c r="B775" s="8" t="str">
        <f>"2561401012319"</f>
        <v>2561401012319</v>
      </c>
      <c r="C775" s="8" t="s">
        <v>7</v>
      </c>
      <c r="D775" s="9">
        <v>0</v>
      </c>
      <c r="E775" s="8">
        <v>309</v>
      </c>
    </row>
    <row r="776" s="3" customFormat="1" ht="18.75" spans="1:5">
      <c r="A776" s="8" t="str">
        <f t="shared" si="13"/>
        <v>250003</v>
      </c>
      <c r="B776" s="8" t="str">
        <f>"2561401012321"</f>
        <v>2561401012321</v>
      </c>
      <c r="C776" s="8" t="s">
        <v>7</v>
      </c>
      <c r="D776" s="9">
        <v>0</v>
      </c>
      <c r="E776" s="8">
        <v>309</v>
      </c>
    </row>
    <row r="777" s="3" customFormat="1" ht="18.75" spans="1:5">
      <c r="A777" s="8" t="str">
        <f t="shared" si="13"/>
        <v>250003</v>
      </c>
      <c r="B777" s="8" t="str">
        <f>"2561401012326"</f>
        <v>2561401012326</v>
      </c>
      <c r="C777" s="8" t="s">
        <v>7</v>
      </c>
      <c r="D777" s="9">
        <v>0</v>
      </c>
      <c r="E777" s="8">
        <v>309</v>
      </c>
    </row>
    <row r="778" s="3" customFormat="1" ht="18.75" spans="1:5">
      <c r="A778" s="8" t="str">
        <f t="shared" si="13"/>
        <v>250003</v>
      </c>
      <c r="B778" s="8" t="str">
        <f>"2561401012328"</f>
        <v>2561401012328</v>
      </c>
      <c r="C778" s="8" t="s">
        <v>7</v>
      </c>
      <c r="D778" s="9">
        <v>0</v>
      </c>
      <c r="E778" s="8">
        <v>309</v>
      </c>
    </row>
    <row r="779" s="3" customFormat="1" ht="18.75" spans="1:5">
      <c r="A779" s="8" t="str">
        <f t="shared" si="13"/>
        <v>250003</v>
      </c>
      <c r="B779" s="8" t="str">
        <f>"2561401012408"</f>
        <v>2561401012408</v>
      </c>
      <c r="C779" s="8" t="s">
        <v>7</v>
      </c>
      <c r="D779" s="9">
        <v>0</v>
      </c>
      <c r="E779" s="8">
        <v>309</v>
      </c>
    </row>
    <row r="780" s="3" customFormat="1" ht="18.75" spans="1:5">
      <c r="A780" s="8" t="str">
        <f t="shared" si="13"/>
        <v>250003</v>
      </c>
      <c r="B780" s="8" t="str">
        <f>"2561401012409"</f>
        <v>2561401012409</v>
      </c>
      <c r="C780" s="8" t="s">
        <v>7</v>
      </c>
      <c r="D780" s="9">
        <v>0</v>
      </c>
      <c r="E780" s="8">
        <v>309</v>
      </c>
    </row>
    <row r="781" s="3" customFormat="1" ht="18.75" spans="1:5">
      <c r="A781" s="8" t="str">
        <f t="shared" si="13"/>
        <v>250003</v>
      </c>
      <c r="B781" s="8" t="str">
        <f>"2561401012412"</f>
        <v>2561401012412</v>
      </c>
      <c r="C781" s="8" t="s">
        <v>7</v>
      </c>
      <c r="D781" s="9">
        <v>0</v>
      </c>
      <c r="E781" s="8">
        <v>309</v>
      </c>
    </row>
    <row r="782" s="3" customFormat="1" ht="18.75" spans="1:5">
      <c r="A782" s="8" t="str">
        <f t="shared" si="13"/>
        <v>250003</v>
      </c>
      <c r="B782" s="8" t="str">
        <f>"2561401012415"</f>
        <v>2561401012415</v>
      </c>
      <c r="C782" s="8" t="s">
        <v>7</v>
      </c>
      <c r="D782" s="9">
        <v>0</v>
      </c>
      <c r="E782" s="8">
        <v>309</v>
      </c>
    </row>
    <row r="783" s="3" customFormat="1" ht="18.75" spans="1:5">
      <c r="A783" s="8" t="str">
        <f t="shared" si="13"/>
        <v>250003</v>
      </c>
      <c r="B783" s="8" t="str">
        <f>"2561401012418"</f>
        <v>2561401012418</v>
      </c>
      <c r="C783" s="8" t="s">
        <v>7</v>
      </c>
      <c r="D783" s="9">
        <v>0</v>
      </c>
      <c r="E783" s="8">
        <v>309</v>
      </c>
    </row>
    <row r="784" s="3" customFormat="1" ht="18.75" spans="1:5">
      <c r="A784" s="8" t="str">
        <f t="shared" si="13"/>
        <v>250003</v>
      </c>
      <c r="B784" s="8" t="str">
        <f>"2561401012421"</f>
        <v>2561401012421</v>
      </c>
      <c r="C784" s="8" t="s">
        <v>7</v>
      </c>
      <c r="D784" s="9">
        <v>0</v>
      </c>
      <c r="E784" s="8">
        <v>309</v>
      </c>
    </row>
    <row r="785" s="3" customFormat="1" ht="18.75" spans="1:5">
      <c r="A785" s="8" t="str">
        <f t="shared" si="13"/>
        <v>250003</v>
      </c>
      <c r="B785" s="8" t="str">
        <f>"2561401012425"</f>
        <v>2561401012425</v>
      </c>
      <c r="C785" s="8" t="s">
        <v>7</v>
      </c>
      <c r="D785" s="9">
        <v>0</v>
      </c>
      <c r="E785" s="8">
        <v>309</v>
      </c>
    </row>
    <row r="786" s="3" customFormat="1" ht="18.75" spans="1:5">
      <c r="A786" s="8" t="str">
        <f t="shared" si="13"/>
        <v>250003</v>
      </c>
      <c r="B786" s="8" t="str">
        <f>"2561401012505"</f>
        <v>2561401012505</v>
      </c>
      <c r="C786" s="8" t="s">
        <v>7</v>
      </c>
      <c r="D786" s="9">
        <v>0</v>
      </c>
      <c r="E786" s="8">
        <v>309</v>
      </c>
    </row>
    <row r="787" s="3" customFormat="1" ht="18.75" spans="1:5">
      <c r="A787" s="8" t="str">
        <f t="shared" si="13"/>
        <v>250003</v>
      </c>
      <c r="B787" s="8" t="str">
        <f>"2561401012506"</f>
        <v>2561401012506</v>
      </c>
      <c r="C787" s="8" t="s">
        <v>7</v>
      </c>
      <c r="D787" s="9">
        <v>0</v>
      </c>
      <c r="E787" s="8">
        <v>309</v>
      </c>
    </row>
    <row r="788" s="3" customFormat="1" ht="18.75" spans="1:5">
      <c r="A788" s="8" t="str">
        <f t="shared" si="13"/>
        <v>250003</v>
      </c>
      <c r="B788" s="8" t="str">
        <f>"2561401012507"</f>
        <v>2561401012507</v>
      </c>
      <c r="C788" s="8" t="s">
        <v>7</v>
      </c>
      <c r="D788" s="9">
        <v>0</v>
      </c>
      <c r="E788" s="8">
        <v>309</v>
      </c>
    </row>
    <row r="789" s="3" customFormat="1" ht="18.75" spans="1:5">
      <c r="A789" s="8" t="str">
        <f t="shared" si="13"/>
        <v>250003</v>
      </c>
      <c r="B789" s="8" t="str">
        <f>"2561401012512"</f>
        <v>2561401012512</v>
      </c>
      <c r="C789" s="8" t="s">
        <v>7</v>
      </c>
      <c r="D789" s="9">
        <v>0</v>
      </c>
      <c r="E789" s="8">
        <v>309</v>
      </c>
    </row>
    <row r="790" s="3" customFormat="1" ht="18.75" spans="1:5">
      <c r="A790" s="8" t="str">
        <f t="shared" si="13"/>
        <v>250003</v>
      </c>
      <c r="B790" s="8" t="str">
        <f>"2561401012515"</f>
        <v>2561401012515</v>
      </c>
      <c r="C790" s="8" t="s">
        <v>7</v>
      </c>
      <c r="D790" s="9">
        <v>0</v>
      </c>
      <c r="E790" s="8">
        <v>309</v>
      </c>
    </row>
    <row r="791" s="3" customFormat="1" ht="18.75" spans="1:5">
      <c r="A791" s="8" t="str">
        <f t="shared" si="13"/>
        <v>250003</v>
      </c>
      <c r="B791" s="8" t="str">
        <f>"2561401012517"</f>
        <v>2561401012517</v>
      </c>
      <c r="C791" s="8" t="s">
        <v>7</v>
      </c>
      <c r="D791" s="9">
        <v>0</v>
      </c>
      <c r="E791" s="8">
        <v>309</v>
      </c>
    </row>
    <row r="792" s="3" customFormat="1" ht="18.75" spans="1:5">
      <c r="A792" s="8" t="str">
        <f t="shared" si="13"/>
        <v>250003</v>
      </c>
      <c r="B792" s="8" t="str">
        <f>"2561401012518"</f>
        <v>2561401012518</v>
      </c>
      <c r="C792" s="8" t="s">
        <v>7</v>
      </c>
      <c r="D792" s="9">
        <v>0</v>
      </c>
      <c r="E792" s="8">
        <v>309</v>
      </c>
    </row>
    <row r="793" s="3" customFormat="1" ht="18.75" spans="1:5">
      <c r="A793" s="8" t="str">
        <f t="shared" si="13"/>
        <v>250003</v>
      </c>
      <c r="B793" s="8" t="str">
        <f>"2561401012521"</f>
        <v>2561401012521</v>
      </c>
      <c r="C793" s="8" t="s">
        <v>7</v>
      </c>
      <c r="D793" s="9">
        <v>0</v>
      </c>
      <c r="E793" s="8">
        <v>309</v>
      </c>
    </row>
    <row r="794" s="3" customFormat="1" ht="18.75" spans="1:5">
      <c r="A794" s="8" t="str">
        <f t="shared" si="13"/>
        <v>250003</v>
      </c>
      <c r="B794" s="8" t="str">
        <f>"2561401012523"</f>
        <v>2561401012523</v>
      </c>
      <c r="C794" s="8" t="s">
        <v>7</v>
      </c>
      <c r="D794" s="9">
        <v>0</v>
      </c>
      <c r="E794" s="8">
        <v>309</v>
      </c>
    </row>
    <row r="795" s="3" customFormat="1" ht="18.75" spans="1:5">
      <c r="A795" s="8" t="str">
        <f t="shared" si="13"/>
        <v>250003</v>
      </c>
      <c r="B795" s="8" t="str">
        <f>"2561401012524"</f>
        <v>2561401012524</v>
      </c>
      <c r="C795" s="8" t="s">
        <v>7</v>
      </c>
      <c r="D795" s="9">
        <v>0</v>
      </c>
      <c r="E795" s="8">
        <v>309</v>
      </c>
    </row>
    <row r="796" s="3" customFormat="1" ht="18.75" spans="1:5">
      <c r="A796" s="8" t="str">
        <f t="shared" si="13"/>
        <v>250003</v>
      </c>
      <c r="B796" s="8" t="str">
        <f>"2561401012530"</f>
        <v>2561401012530</v>
      </c>
      <c r="C796" s="8" t="s">
        <v>7</v>
      </c>
      <c r="D796" s="9">
        <v>0</v>
      </c>
      <c r="E796" s="8">
        <v>309</v>
      </c>
    </row>
    <row r="797" s="3" customFormat="1" ht="18.75" spans="1:5">
      <c r="A797" s="8" t="str">
        <f t="shared" si="13"/>
        <v>250003</v>
      </c>
      <c r="B797" s="8" t="str">
        <f>"2561401012601"</f>
        <v>2561401012601</v>
      </c>
      <c r="C797" s="8" t="s">
        <v>7</v>
      </c>
      <c r="D797" s="9">
        <v>0</v>
      </c>
      <c r="E797" s="8">
        <v>309</v>
      </c>
    </row>
    <row r="798" s="3" customFormat="1" ht="18.75" spans="1:5">
      <c r="A798" s="8" t="str">
        <f t="shared" si="13"/>
        <v>250003</v>
      </c>
      <c r="B798" s="8" t="str">
        <f>"2561401012602"</f>
        <v>2561401012602</v>
      </c>
      <c r="C798" s="8" t="s">
        <v>7</v>
      </c>
      <c r="D798" s="9">
        <v>0</v>
      </c>
      <c r="E798" s="8">
        <v>309</v>
      </c>
    </row>
    <row r="799" s="3" customFormat="1" ht="18.75" spans="1:5">
      <c r="A799" s="8" t="str">
        <f t="shared" si="13"/>
        <v>250003</v>
      </c>
      <c r="B799" s="8" t="str">
        <f>"2561401012606"</f>
        <v>2561401012606</v>
      </c>
      <c r="C799" s="8" t="s">
        <v>7</v>
      </c>
      <c r="D799" s="9">
        <v>0</v>
      </c>
      <c r="E799" s="8">
        <v>309</v>
      </c>
    </row>
    <row r="800" s="3" customFormat="1" ht="18.75" spans="1:5">
      <c r="A800" s="8" t="str">
        <f t="shared" si="13"/>
        <v>250003</v>
      </c>
      <c r="B800" s="8" t="str">
        <f>"2561401012613"</f>
        <v>2561401012613</v>
      </c>
      <c r="C800" s="8" t="s">
        <v>7</v>
      </c>
      <c r="D800" s="9">
        <v>0</v>
      </c>
      <c r="E800" s="8">
        <v>309</v>
      </c>
    </row>
    <row r="801" s="3" customFormat="1" ht="18.75" spans="1:5">
      <c r="A801" s="8" t="str">
        <f t="shared" si="13"/>
        <v>250003</v>
      </c>
      <c r="B801" s="8" t="str">
        <f>"2561401012614"</f>
        <v>2561401012614</v>
      </c>
      <c r="C801" s="8" t="s">
        <v>7</v>
      </c>
      <c r="D801" s="9">
        <v>0</v>
      </c>
      <c r="E801" s="8">
        <v>309</v>
      </c>
    </row>
    <row r="802" s="3" customFormat="1" ht="18.75" spans="1:5">
      <c r="A802" s="8" t="str">
        <f t="shared" si="13"/>
        <v>250003</v>
      </c>
      <c r="B802" s="8" t="str">
        <f>"2561401012617"</f>
        <v>2561401012617</v>
      </c>
      <c r="C802" s="8" t="s">
        <v>7</v>
      </c>
      <c r="D802" s="9">
        <v>0</v>
      </c>
      <c r="E802" s="8">
        <v>309</v>
      </c>
    </row>
    <row r="803" s="3" customFormat="1" ht="18.75" spans="1:5">
      <c r="A803" s="8" t="str">
        <f t="shared" si="13"/>
        <v>250003</v>
      </c>
      <c r="B803" s="8" t="str">
        <f>"2561401012622"</f>
        <v>2561401012622</v>
      </c>
      <c r="C803" s="8" t="s">
        <v>7</v>
      </c>
      <c r="D803" s="9">
        <v>0</v>
      </c>
      <c r="E803" s="8">
        <v>309</v>
      </c>
    </row>
    <row r="804" s="3" customFormat="1" ht="18.75" spans="1:5">
      <c r="A804" s="8" t="str">
        <f t="shared" si="13"/>
        <v>250003</v>
      </c>
      <c r="B804" s="8" t="str">
        <f>"2561401012625"</f>
        <v>2561401012625</v>
      </c>
      <c r="C804" s="8" t="s">
        <v>7</v>
      </c>
      <c r="D804" s="9">
        <v>0</v>
      </c>
      <c r="E804" s="8">
        <v>309</v>
      </c>
    </row>
    <row r="805" s="3" customFormat="1" ht="18.75" spans="1:5">
      <c r="A805" s="8" t="str">
        <f t="shared" si="13"/>
        <v>250003</v>
      </c>
      <c r="B805" s="8" t="str">
        <f>"2561401012627"</f>
        <v>2561401012627</v>
      </c>
      <c r="C805" s="8" t="s">
        <v>7</v>
      </c>
      <c r="D805" s="9">
        <v>0</v>
      </c>
      <c r="E805" s="8">
        <v>309</v>
      </c>
    </row>
    <row r="806" s="3" customFormat="1" ht="18.75" spans="1:5">
      <c r="A806" s="8" t="str">
        <f t="shared" si="13"/>
        <v>250003</v>
      </c>
      <c r="B806" s="8" t="str">
        <f>"2561401012629"</f>
        <v>2561401012629</v>
      </c>
      <c r="C806" s="8" t="s">
        <v>7</v>
      </c>
      <c r="D806" s="9">
        <v>0</v>
      </c>
      <c r="E806" s="8">
        <v>309</v>
      </c>
    </row>
    <row r="807" s="3" customFormat="1" ht="18.75" spans="1:5">
      <c r="A807" s="8" t="str">
        <f t="shared" si="13"/>
        <v>250003</v>
      </c>
      <c r="B807" s="8" t="str">
        <f>"2561401012630"</f>
        <v>2561401012630</v>
      </c>
      <c r="C807" s="8" t="s">
        <v>7</v>
      </c>
      <c r="D807" s="9">
        <v>0</v>
      </c>
      <c r="E807" s="8">
        <v>309</v>
      </c>
    </row>
    <row r="808" s="3" customFormat="1" ht="18.75" spans="1:5">
      <c r="A808" s="8" t="str">
        <f t="shared" si="13"/>
        <v>250003</v>
      </c>
      <c r="B808" s="8" t="str">
        <f>"2561401012703"</f>
        <v>2561401012703</v>
      </c>
      <c r="C808" s="8" t="s">
        <v>7</v>
      </c>
      <c r="D808" s="9">
        <v>0</v>
      </c>
      <c r="E808" s="8">
        <v>309</v>
      </c>
    </row>
    <row r="809" s="3" customFormat="1" ht="18.75" spans="1:5">
      <c r="A809" s="8" t="str">
        <f t="shared" si="13"/>
        <v>250003</v>
      </c>
      <c r="B809" s="8" t="str">
        <f>"2561401012706"</f>
        <v>2561401012706</v>
      </c>
      <c r="C809" s="8" t="s">
        <v>7</v>
      </c>
      <c r="D809" s="9">
        <v>0</v>
      </c>
      <c r="E809" s="8">
        <v>309</v>
      </c>
    </row>
    <row r="810" s="3" customFormat="1" ht="18.75" spans="1:5">
      <c r="A810" s="8" t="str">
        <f t="shared" si="13"/>
        <v>250003</v>
      </c>
      <c r="B810" s="8" t="str">
        <f>"2561401012707"</f>
        <v>2561401012707</v>
      </c>
      <c r="C810" s="8" t="s">
        <v>7</v>
      </c>
      <c r="D810" s="9">
        <v>0</v>
      </c>
      <c r="E810" s="8">
        <v>309</v>
      </c>
    </row>
    <row r="811" s="3" customFormat="1" ht="18.75" spans="1:5">
      <c r="A811" s="8" t="str">
        <f t="shared" si="13"/>
        <v>250003</v>
      </c>
      <c r="B811" s="8" t="str">
        <f>"2561401012708"</f>
        <v>2561401012708</v>
      </c>
      <c r="C811" s="8" t="s">
        <v>7</v>
      </c>
      <c r="D811" s="9">
        <v>0</v>
      </c>
      <c r="E811" s="8">
        <v>309</v>
      </c>
    </row>
    <row r="812" s="3" customFormat="1" ht="18.75" spans="1:5">
      <c r="A812" s="8" t="str">
        <f t="shared" si="13"/>
        <v>250003</v>
      </c>
      <c r="B812" s="8" t="str">
        <f>"2561401012713"</f>
        <v>2561401012713</v>
      </c>
      <c r="C812" s="8" t="s">
        <v>7</v>
      </c>
      <c r="D812" s="9">
        <v>0</v>
      </c>
      <c r="E812" s="8">
        <v>309</v>
      </c>
    </row>
    <row r="813" s="3" customFormat="1" ht="18.75" spans="1:5">
      <c r="A813" s="8" t="str">
        <f t="shared" si="13"/>
        <v>250003</v>
      </c>
      <c r="B813" s="8" t="str">
        <f>"2561401012720"</f>
        <v>2561401012720</v>
      </c>
      <c r="C813" s="8" t="s">
        <v>7</v>
      </c>
      <c r="D813" s="9">
        <v>0</v>
      </c>
      <c r="E813" s="8">
        <v>309</v>
      </c>
    </row>
    <row r="814" s="3" customFormat="1" ht="18.75" spans="1:5">
      <c r="A814" s="8" t="str">
        <f t="shared" si="13"/>
        <v>250003</v>
      </c>
      <c r="B814" s="8" t="str">
        <f>"2561401012722"</f>
        <v>2561401012722</v>
      </c>
      <c r="C814" s="8" t="s">
        <v>7</v>
      </c>
      <c r="D814" s="9">
        <v>0</v>
      </c>
      <c r="E814" s="8">
        <v>309</v>
      </c>
    </row>
    <row r="815" s="3" customFormat="1" ht="18.75" spans="1:5">
      <c r="A815" s="8" t="str">
        <f t="shared" si="13"/>
        <v>250003</v>
      </c>
      <c r="B815" s="8" t="str">
        <f>"2561401012726"</f>
        <v>2561401012726</v>
      </c>
      <c r="C815" s="8" t="s">
        <v>7</v>
      </c>
      <c r="D815" s="9">
        <v>0</v>
      </c>
      <c r="E815" s="8">
        <v>309</v>
      </c>
    </row>
    <row r="816" s="3" customFormat="1" ht="18.75" spans="1:5">
      <c r="A816" s="8" t="str">
        <f t="shared" si="13"/>
        <v>250003</v>
      </c>
      <c r="B816" s="8" t="str">
        <f>"2561401012801"</f>
        <v>2561401012801</v>
      </c>
      <c r="C816" s="8" t="s">
        <v>7</v>
      </c>
      <c r="D816" s="9">
        <v>0</v>
      </c>
      <c r="E816" s="8">
        <v>309</v>
      </c>
    </row>
    <row r="817" s="3" customFormat="1" ht="18.75" spans="1:5">
      <c r="A817" s="8" t="str">
        <f t="shared" ref="A817:A880" si="14">"250004"</f>
        <v>250004</v>
      </c>
      <c r="B817" s="8" t="str">
        <f>"2561401012825"</f>
        <v>2561401012825</v>
      </c>
      <c r="C817" s="8" t="s">
        <v>7</v>
      </c>
      <c r="D817" s="9">
        <v>66.6</v>
      </c>
      <c r="E817" s="8">
        <v>1</v>
      </c>
    </row>
    <row r="818" s="3" customFormat="1" ht="18.75" spans="1:5">
      <c r="A818" s="8" t="str">
        <f t="shared" si="14"/>
        <v>250004</v>
      </c>
      <c r="B818" s="8" t="str">
        <f>"2561401012805"</f>
        <v>2561401012805</v>
      </c>
      <c r="C818" s="8" t="s">
        <v>7</v>
      </c>
      <c r="D818" s="9">
        <v>65.61</v>
      </c>
      <c r="E818" s="8">
        <v>2</v>
      </c>
    </row>
    <row r="819" s="3" customFormat="1" ht="18.75" spans="1:5">
      <c r="A819" s="8" t="str">
        <f t="shared" si="14"/>
        <v>250004</v>
      </c>
      <c r="B819" s="8" t="str">
        <f>"2561401013021"</f>
        <v>2561401013021</v>
      </c>
      <c r="C819" s="8" t="s">
        <v>7</v>
      </c>
      <c r="D819" s="9">
        <v>64.95</v>
      </c>
      <c r="E819" s="8">
        <v>3</v>
      </c>
    </row>
    <row r="820" s="3" customFormat="1" ht="18.75" spans="1:5">
      <c r="A820" s="8" t="str">
        <f t="shared" si="14"/>
        <v>250004</v>
      </c>
      <c r="B820" s="8" t="str">
        <f>"2561401012824"</f>
        <v>2561401012824</v>
      </c>
      <c r="C820" s="8" t="s">
        <v>7</v>
      </c>
      <c r="D820" s="9">
        <v>63.92</v>
      </c>
      <c r="E820" s="8">
        <v>4</v>
      </c>
    </row>
    <row r="821" s="3" customFormat="1" ht="18.75" spans="1:5">
      <c r="A821" s="8" t="str">
        <f t="shared" si="14"/>
        <v>250004</v>
      </c>
      <c r="B821" s="8" t="str">
        <f>"2561401012819"</f>
        <v>2561401012819</v>
      </c>
      <c r="C821" s="8" t="s">
        <v>7</v>
      </c>
      <c r="D821" s="9">
        <v>62.65</v>
      </c>
      <c r="E821" s="8">
        <v>5</v>
      </c>
    </row>
    <row r="822" s="3" customFormat="1" ht="18.75" spans="1:5">
      <c r="A822" s="8" t="str">
        <f t="shared" si="14"/>
        <v>250004</v>
      </c>
      <c r="B822" s="8" t="str">
        <f>"2561401012902"</f>
        <v>2561401012902</v>
      </c>
      <c r="C822" s="8" t="s">
        <v>7</v>
      </c>
      <c r="D822" s="9">
        <v>62.55</v>
      </c>
      <c r="E822" s="8">
        <v>6</v>
      </c>
    </row>
    <row r="823" s="3" customFormat="1" ht="18.75" spans="1:5">
      <c r="A823" s="8" t="str">
        <f t="shared" si="14"/>
        <v>250004</v>
      </c>
      <c r="B823" s="8" t="str">
        <f>"2561401012818"</f>
        <v>2561401012818</v>
      </c>
      <c r="C823" s="8" t="s">
        <v>7</v>
      </c>
      <c r="D823" s="9">
        <v>62.54</v>
      </c>
      <c r="E823" s="8">
        <v>7</v>
      </c>
    </row>
    <row r="824" s="3" customFormat="1" ht="18.75" spans="1:5">
      <c r="A824" s="8" t="str">
        <f t="shared" si="14"/>
        <v>250004</v>
      </c>
      <c r="B824" s="8" t="str">
        <f>"2561401012811"</f>
        <v>2561401012811</v>
      </c>
      <c r="C824" s="8" t="s">
        <v>7</v>
      </c>
      <c r="D824" s="9">
        <v>62.27</v>
      </c>
      <c r="E824" s="8">
        <v>8</v>
      </c>
    </row>
    <row r="825" s="3" customFormat="1" ht="18.75" spans="1:5">
      <c r="A825" s="8" t="str">
        <f t="shared" si="14"/>
        <v>250004</v>
      </c>
      <c r="B825" s="8" t="str">
        <f>"2561401012909"</f>
        <v>2561401012909</v>
      </c>
      <c r="C825" s="8" t="s">
        <v>7</v>
      </c>
      <c r="D825" s="9">
        <v>61.44</v>
      </c>
      <c r="E825" s="8">
        <v>9</v>
      </c>
    </row>
    <row r="826" s="3" customFormat="1" ht="18.75" spans="1:5">
      <c r="A826" s="8" t="str">
        <f t="shared" si="14"/>
        <v>250004</v>
      </c>
      <c r="B826" s="8" t="str">
        <f>"2561401012807"</f>
        <v>2561401012807</v>
      </c>
      <c r="C826" s="8" t="s">
        <v>7</v>
      </c>
      <c r="D826" s="9">
        <v>60.97</v>
      </c>
      <c r="E826" s="8">
        <v>10</v>
      </c>
    </row>
    <row r="827" s="3" customFormat="1" ht="18.75" spans="1:5">
      <c r="A827" s="8" t="str">
        <f t="shared" si="14"/>
        <v>250004</v>
      </c>
      <c r="B827" s="8" t="str">
        <f>"2561401012925"</f>
        <v>2561401012925</v>
      </c>
      <c r="C827" s="8" t="s">
        <v>7</v>
      </c>
      <c r="D827" s="9">
        <v>60.68</v>
      </c>
      <c r="E827" s="8">
        <v>11</v>
      </c>
    </row>
    <row r="828" s="3" customFormat="1" ht="18.75" spans="1:5">
      <c r="A828" s="8" t="str">
        <f t="shared" si="14"/>
        <v>250004</v>
      </c>
      <c r="B828" s="8" t="str">
        <f>"2561401012808"</f>
        <v>2561401012808</v>
      </c>
      <c r="C828" s="8" t="s">
        <v>7</v>
      </c>
      <c r="D828" s="9">
        <v>60.58</v>
      </c>
      <c r="E828" s="8">
        <v>12</v>
      </c>
    </row>
    <row r="829" s="3" customFormat="1" ht="18.75" spans="1:5">
      <c r="A829" s="8" t="str">
        <f t="shared" si="14"/>
        <v>250004</v>
      </c>
      <c r="B829" s="8" t="str">
        <f>"2561401012905"</f>
        <v>2561401012905</v>
      </c>
      <c r="C829" s="8" t="s">
        <v>7</v>
      </c>
      <c r="D829" s="9">
        <v>60.4</v>
      </c>
      <c r="E829" s="8">
        <v>13</v>
      </c>
    </row>
    <row r="830" s="3" customFormat="1" ht="18.75" spans="1:5">
      <c r="A830" s="8" t="str">
        <f t="shared" si="14"/>
        <v>250004</v>
      </c>
      <c r="B830" s="8" t="str">
        <f>"2561401012926"</f>
        <v>2561401012926</v>
      </c>
      <c r="C830" s="8" t="s">
        <v>7</v>
      </c>
      <c r="D830" s="9">
        <v>60.18</v>
      </c>
      <c r="E830" s="8">
        <v>14</v>
      </c>
    </row>
    <row r="831" s="3" customFormat="1" ht="18.75" spans="1:5">
      <c r="A831" s="8" t="str">
        <f t="shared" si="14"/>
        <v>250004</v>
      </c>
      <c r="B831" s="8" t="str">
        <f>"2561401013005"</f>
        <v>2561401013005</v>
      </c>
      <c r="C831" s="8" t="s">
        <v>7</v>
      </c>
      <c r="D831" s="9">
        <v>59.87</v>
      </c>
      <c r="E831" s="8">
        <v>15</v>
      </c>
    </row>
    <row r="832" s="3" customFormat="1" ht="18.75" spans="1:5">
      <c r="A832" s="8" t="str">
        <f t="shared" si="14"/>
        <v>250004</v>
      </c>
      <c r="B832" s="8" t="str">
        <f>"2561401013011"</f>
        <v>2561401013011</v>
      </c>
      <c r="C832" s="8" t="s">
        <v>7</v>
      </c>
      <c r="D832" s="9">
        <v>59.85</v>
      </c>
      <c r="E832" s="8">
        <v>16</v>
      </c>
    </row>
    <row r="833" s="3" customFormat="1" ht="18.75" spans="1:5">
      <c r="A833" s="8" t="str">
        <f t="shared" si="14"/>
        <v>250004</v>
      </c>
      <c r="B833" s="8" t="str">
        <f>"2561401012903"</f>
        <v>2561401012903</v>
      </c>
      <c r="C833" s="8" t="s">
        <v>7</v>
      </c>
      <c r="D833" s="9">
        <v>59.7</v>
      </c>
      <c r="E833" s="8">
        <v>17</v>
      </c>
    </row>
    <row r="834" s="3" customFormat="1" ht="18.75" spans="1:5">
      <c r="A834" s="8" t="str">
        <f t="shared" si="14"/>
        <v>250004</v>
      </c>
      <c r="B834" s="8" t="str">
        <f>"2561401012904"</f>
        <v>2561401012904</v>
      </c>
      <c r="C834" s="8" t="s">
        <v>7</v>
      </c>
      <c r="D834" s="9">
        <v>59.6</v>
      </c>
      <c r="E834" s="8">
        <v>18</v>
      </c>
    </row>
    <row r="835" s="3" customFormat="1" ht="18.75" spans="1:5">
      <c r="A835" s="8" t="str">
        <f t="shared" si="14"/>
        <v>250004</v>
      </c>
      <c r="B835" s="8" t="str">
        <f>"2561401012815"</f>
        <v>2561401012815</v>
      </c>
      <c r="C835" s="8" t="s">
        <v>7</v>
      </c>
      <c r="D835" s="9">
        <v>59.33</v>
      </c>
      <c r="E835" s="8">
        <v>19</v>
      </c>
    </row>
    <row r="836" s="3" customFormat="1" ht="18.75" spans="1:5">
      <c r="A836" s="8" t="str">
        <f t="shared" si="14"/>
        <v>250004</v>
      </c>
      <c r="B836" s="8" t="str">
        <f>"2561401013022"</f>
        <v>2561401013022</v>
      </c>
      <c r="C836" s="8" t="s">
        <v>7</v>
      </c>
      <c r="D836" s="9">
        <v>58.81</v>
      </c>
      <c r="E836" s="8">
        <v>20</v>
      </c>
    </row>
    <row r="837" s="3" customFormat="1" ht="18.75" spans="1:5">
      <c r="A837" s="8" t="str">
        <f t="shared" si="14"/>
        <v>250004</v>
      </c>
      <c r="B837" s="8" t="str">
        <f>"2561401012810"</f>
        <v>2561401012810</v>
      </c>
      <c r="C837" s="8" t="s">
        <v>7</v>
      </c>
      <c r="D837" s="9">
        <v>58.73</v>
      </c>
      <c r="E837" s="8">
        <v>21</v>
      </c>
    </row>
    <row r="838" s="3" customFormat="1" ht="18.75" spans="1:5">
      <c r="A838" s="8" t="str">
        <f t="shared" si="14"/>
        <v>250004</v>
      </c>
      <c r="B838" s="8" t="str">
        <f>"2561401013012"</f>
        <v>2561401013012</v>
      </c>
      <c r="C838" s="8" t="s">
        <v>7</v>
      </c>
      <c r="D838" s="9">
        <v>58.34</v>
      </c>
      <c r="E838" s="8">
        <v>22</v>
      </c>
    </row>
    <row r="839" s="3" customFormat="1" ht="18.75" spans="1:5">
      <c r="A839" s="8" t="str">
        <f t="shared" si="14"/>
        <v>250004</v>
      </c>
      <c r="B839" s="8" t="str">
        <f>"2561401013013"</f>
        <v>2561401013013</v>
      </c>
      <c r="C839" s="8" t="s">
        <v>7</v>
      </c>
      <c r="D839" s="9">
        <v>58.2</v>
      </c>
      <c r="E839" s="8">
        <v>23</v>
      </c>
    </row>
    <row r="840" s="3" customFormat="1" ht="18.75" spans="1:5">
      <c r="A840" s="8" t="str">
        <f t="shared" si="14"/>
        <v>250004</v>
      </c>
      <c r="B840" s="8" t="str">
        <f>"2561401013018"</f>
        <v>2561401013018</v>
      </c>
      <c r="C840" s="8" t="s">
        <v>7</v>
      </c>
      <c r="D840" s="9">
        <v>57.94</v>
      </c>
      <c r="E840" s="8">
        <v>24</v>
      </c>
    </row>
    <row r="841" s="3" customFormat="1" ht="18.75" spans="1:5">
      <c r="A841" s="8" t="str">
        <f t="shared" si="14"/>
        <v>250004</v>
      </c>
      <c r="B841" s="8" t="str">
        <f>"2561401012920"</f>
        <v>2561401012920</v>
      </c>
      <c r="C841" s="8" t="s">
        <v>7</v>
      </c>
      <c r="D841" s="9">
        <v>57.62</v>
      </c>
      <c r="E841" s="8">
        <v>25</v>
      </c>
    </row>
    <row r="842" s="3" customFormat="1" ht="18.75" spans="1:5">
      <c r="A842" s="8" t="str">
        <f t="shared" si="14"/>
        <v>250004</v>
      </c>
      <c r="B842" s="8" t="str">
        <f>"2561401012804"</f>
        <v>2561401012804</v>
      </c>
      <c r="C842" s="8" t="s">
        <v>7</v>
      </c>
      <c r="D842" s="9">
        <v>57.23</v>
      </c>
      <c r="E842" s="8">
        <v>26</v>
      </c>
    </row>
    <row r="843" s="3" customFormat="1" ht="18.75" spans="1:5">
      <c r="A843" s="8" t="str">
        <f t="shared" si="14"/>
        <v>250004</v>
      </c>
      <c r="B843" s="8" t="str">
        <f>"2561401013014"</f>
        <v>2561401013014</v>
      </c>
      <c r="C843" s="8" t="s">
        <v>7</v>
      </c>
      <c r="D843" s="9">
        <v>56.96</v>
      </c>
      <c r="E843" s="8">
        <v>27</v>
      </c>
    </row>
    <row r="844" s="3" customFormat="1" ht="18.75" spans="1:5">
      <c r="A844" s="8" t="str">
        <f t="shared" si="14"/>
        <v>250004</v>
      </c>
      <c r="B844" s="8" t="str">
        <f>"2561401012913"</f>
        <v>2561401012913</v>
      </c>
      <c r="C844" s="8" t="s">
        <v>7</v>
      </c>
      <c r="D844" s="9">
        <v>56.76</v>
      </c>
      <c r="E844" s="8">
        <v>28</v>
      </c>
    </row>
    <row r="845" s="3" customFormat="1" ht="18.75" spans="1:5">
      <c r="A845" s="8" t="str">
        <f t="shared" si="14"/>
        <v>250004</v>
      </c>
      <c r="B845" s="8" t="str">
        <f>"2561401013023"</f>
        <v>2561401013023</v>
      </c>
      <c r="C845" s="8" t="s">
        <v>7</v>
      </c>
      <c r="D845" s="9">
        <v>56.29</v>
      </c>
      <c r="E845" s="8">
        <v>29</v>
      </c>
    </row>
    <row r="846" s="3" customFormat="1" ht="18.75" spans="1:5">
      <c r="A846" s="8" t="str">
        <f t="shared" si="14"/>
        <v>250004</v>
      </c>
      <c r="B846" s="8" t="str">
        <f>"2561401012911"</f>
        <v>2561401012911</v>
      </c>
      <c r="C846" s="8" t="s">
        <v>7</v>
      </c>
      <c r="D846" s="9">
        <v>56.16</v>
      </c>
      <c r="E846" s="8">
        <v>30</v>
      </c>
    </row>
    <row r="847" s="3" customFormat="1" ht="18.75" spans="1:5">
      <c r="A847" s="8" t="str">
        <f t="shared" si="14"/>
        <v>250004</v>
      </c>
      <c r="B847" s="8" t="str">
        <f>"2561401012919"</f>
        <v>2561401012919</v>
      </c>
      <c r="C847" s="8" t="s">
        <v>7</v>
      </c>
      <c r="D847" s="9">
        <v>55.82</v>
      </c>
      <c r="E847" s="8">
        <v>31</v>
      </c>
    </row>
    <row r="848" s="3" customFormat="1" ht="18.75" spans="1:5">
      <c r="A848" s="8" t="str">
        <f t="shared" si="14"/>
        <v>250004</v>
      </c>
      <c r="B848" s="8" t="str">
        <f>"2561401012822"</f>
        <v>2561401012822</v>
      </c>
      <c r="C848" s="8" t="s">
        <v>7</v>
      </c>
      <c r="D848" s="9">
        <v>55.41</v>
      </c>
      <c r="E848" s="8">
        <v>32</v>
      </c>
    </row>
    <row r="849" s="3" customFormat="1" ht="18.75" spans="1:5">
      <c r="A849" s="8" t="str">
        <f t="shared" si="14"/>
        <v>250004</v>
      </c>
      <c r="B849" s="8" t="str">
        <f>"2561401012924"</f>
        <v>2561401012924</v>
      </c>
      <c r="C849" s="8" t="s">
        <v>7</v>
      </c>
      <c r="D849" s="9">
        <v>55.39</v>
      </c>
      <c r="E849" s="8">
        <v>33</v>
      </c>
    </row>
    <row r="850" s="3" customFormat="1" ht="18.75" spans="1:5">
      <c r="A850" s="8" t="str">
        <f t="shared" si="14"/>
        <v>250004</v>
      </c>
      <c r="B850" s="8" t="str">
        <f>"2561401013004"</f>
        <v>2561401013004</v>
      </c>
      <c r="C850" s="8" t="s">
        <v>7</v>
      </c>
      <c r="D850" s="9">
        <v>55.33</v>
      </c>
      <c r="E850" s="8">
        <v>34</v>
      </c>
    </row>
    <row r="851" s="3" customFormat="1" ht="18.75" spans="1:5">
      <c r="A851" s="8" t="str">
        <f t="shared" si="14"/>
        <v>250004</v>
      </c>
      <c r="B851" s="8" t="str">
        <f>"2561401012806"</f>
        <v>2561401012806</v>
      </c>
      <c r="C851" s="8" t="s">
        <v>7</v>
      </c>
      <c r="D851" s="9">
        <v>55.3</v>
      </c>
      <c r="E851" s="8">
        <v>35</v>
      </c>
    </row>
    <row r="852" s="3" customFormat="1" ht="18.75" spans="1:5">
      <c r="A852" s="8" t="str">
        <f t="shared" si="14"/>
        <v>250004</v>
      </c>
      <c r="B852" s="8" t="str">
        <f>"2561401012927"</f>
        <v>2561401012927</v>
      </c>
      <c r="C852" s="8" t="s">
        <v>7</v>
      </c>
      <c r="D852" s="9">
        <v>55.22</v>
      </c>
      <c r="E852" s="8">
        <v>36</v>
      </c>
    </row>
    <row r="853" s="3" customFormat="1" ht="18.75" spans="1:5">
      <c r="A853" s="8" t="str">
        <f t="shared" si="14"/>
        <v>250004</v>
      </c>
      <c r="B853" s="8" t="str">
        <f>"2561401012906"</f>
        <v>2561401012906</v>
      </c>
      <c r="C853" s="8" t="s">
        <v>7</v>
      </c>
      <c r="D853" s="9">
        <v>55.02</v>
      </c>
      <c r="E853" s="8">
        <v>37</v>
      </c>
    </row>
    <row r="854" s="3" customFormat="1" ht="18.75" spans="1:5">
      <c r="A854" s="8" t="str">
        <f t="shared" si="14"/>
        <v>250004</v>
      </c>
      <c r="B854" s="8" t="str">
        <f>"2561401012914"</f>
        <v>2561401012914</v>
      </c>
      <c r="C854" s="8" t="s">
        <v>7</v>
      </c>
      <c r="D854" s="9">
        <v>54.53</v>
      </c>
      <c r="E854" s="8">
        <v>38</v>
      </c>
    </row>
    <row r="855" s="3" customFormat="1" ht="18.75" spans="1:5">
      <c r="A855" s="8" t="str">
        <f t="shared" si="14"/>
        <v>250004</v>
      </c>
      <c r="B855" s="8" t="str">
        <f>"2561401012828"</f>
        <v>2561401012828</v>
      </c>
      <c r="C855" s="8" t="s">
        <v>7</v>
      </c>
      <c r="D855" s="9">
        <v>54.12</v>
      </c>
      <c r="E855" s="8">
        <v>39</v>
      </c>
    </row>
    <row r="856" s="3" customFormat="1" ht="18.75" spans="1:5">
      <c r="A856" s="8" t="str">
        <f t="shared" si="14"/>
        <v>250004</v>
      </c>
      <c r="B856" s="8" t="str">
        <f>"2561401012820"</f>
        <v>2561401012820</v>
      </c>
      <c r="C856" s="8" t="s">
        <v>7</v>
      </c>
      <c r="D856" s="9">
        <v>53.87</v>
      </c>
      <c r="E856" s="8">
        <v>40</v>
      </c>
    </row>
    <row r="857" s="3" customFormat="1" ht="18.75" spans="1:5">
      <c r="A857" s="8" t="str">
        <f t="shared" si="14"/>
        <v>250004</v>
      </c>
      <c r="B857" s="8" t="str">
        <f>"2561401013009"</f>
        <v>2561401013009</v>
      </c>
      <c r="C857" s="8" t="s">
        <v>7</v>
      </c>
      <c r="D857" s="9">
        <v>53.77</v>
      </c>
      <c r="E857" s="8">
        <v>41</v>
      </c>
    </row>
    <row r="858" s="3" customFormat="1" ht="18.75" spans="1:5">
      <c r="A858" s="8" t="str">
        <f t="shared" si="14"/>
        <v>250004</v>
      </c>
      <c r="B858" s="8" t="str">
        <f>"2561401013020"</f>
        <v>2561401013020</v>
      </c>
      <c r="C858" s="8" t="s">
        <v>7</v>
      </c>
      <c r="D858" s="9">
        <v>53.76</v>
      </c>
      <c r="E858" s="8">
        <v>42</v>
      </c>
    </row>
    <row r="859" s="3" customFormat="1" ht="18.75" spans="1:5">
      <c r="A859" s="8" t="str">
        <f t="shared" si="14"/>
        <v>250004</v>
      </c>
      <c r="B859" s="8" t="str">
        <f>"2561401013024"</f>
        <v>2561401013024</v>
      </c>
      <c r="C859" s="8" t="s">
        <v>7</v>
      </c>
      <c r="D859" s="9">
        <v>53.69</v>
      </c>
      <c r="E859" s="8">
        <v>43</v>
      </c>
    </row>
    <row r="860" s="3" customFormat="1" ht="18.75" spans="1:5">
      <c r="A860" s="8" t="str">
        <f t="shared" si="14"/>
        <v>250004</v>
      </c>
      <c r="B860" s="8" t="str">
        <f>"2561401013001"</f>
        <v>2561401013001</v>
      </c>
      <c r="C860" s="8" t="s">
        <v>7</v>
      </c>
      <c r="D860" s="9">
        <v>53.65</v>
      </c>
      <c r="E860" s="8">
        <v>44</v>
      </c>
    </row>
    <row r="861" s="3" customFormat="1" ht="18.75" spans="1:5">
      <c r="A861" s="8" t="str">
        <f t="shared" si="14"/>
        <v>250004</v>
      </c>
      <c r="B861" s="8" t="str">
        <f>"2561401013002"</f>
        <v>2561401013002</v>
      </c>
      <c r="C861" s="8" t="s">
        <v>7</v>
      </c>
      <c r="D861" s="9">
        <v>53.6</v>
      </c>
      <c r="E861" s="8">
        <v>45</v>
      </c>
    </row>
    <row r="862" s="3" customFormat="1" ht="18.75" spans="1:5">
      <c r="A862" s="8" t="str">
        <f t="shared" si="14"/>
        <v>250004</v>
      </c>
      <c r="B862" s="8" t="str">
        <f>"2561401012817"</f>
        <v>2561401012817</v>
      </c>
      <c r="C862" s="8" t="s">
        <v>7</v>
      </c>
      <c r="D862" s="9">
        <v>53.58</v>
      </c>
      <c r="E862" s="8">
        <v>46</v>
      </c>
    </row>
    <row r="863" s="3" customFormat="1" ht="18.75" spans="1:5">
      <c r="A863" s="8" t="str">
        <f t="shared" si="14"/>
        <v>250004</v>
      </c>
      <c r="B863" s="8" t="str">
        <f>"2561401012821"</f>
        <v>2561401012821</v>
      </c>
      <c r="C863" s="8" t="s">
        <v>7</v>
      </c>
      <c r="D863" s="9">
        <v>53.09</v>
      </c>
      <c r="E863" s="8">
        <v>47</v>
      </c>
    </row>
    <row r="864" s="3" customFormat="1" ht="18.75" spans="1:5">
      <c r="A864" s="8" t="str">
        <f t="shared" si="14"/>
        <v>250004</v>
      </c>
      <c r="B864" s="8" t="str">
        <f>"2561401012928"</f>
        <v>2561401012928</v>
      </c>
      <c r="C864" s="8" t="s">
        <v>7</v>
      </c>
      <c r="D864" s="9">
        <v>53.05</v>
      </c>
      <c r="E864" s="8">
        <v>48</v>
      </c>
    </row>
    <row r="865" s="3" customFormat="1" ht="18.75" spans="1:5">
      <c r="A865" s="8" t="str">
        <f t="shared" si="14"/>
        <v>250004</v>
      </c>
      <c r="B865" s="8" t="str">
        <f>"2561401013026"</f>
        <v>2561401013026</v>
      </c>
      <c r="C865" s="8" t="s">
        <v>7</v>
      </c>
      <c r="D865" s="9">
        <v>53.03</v>
      </c>
      <c r="E865" s="8">
        <v>49</v>
      </c>
    </row>
    <row r="866" s="3" customFormat="1" ht="18.75" spans="1:5">
      <c r="A866" s="8" t="str">
        <f t="shared" si="14"/>
        <v>250004</v>
      </c>
      <c r="B866" s="8" t="str">
        <f>"2561401012908"</f>
        <v>2561401012908</v>
      </c>
      <c r="C866" s="8" t="s">
        <v>7</v>
      </c>
      <c r="D866" s="9">
        <v>52.43</v>
      </c>
      <c r="E866" s="8">
        <v>50</v>
      </c>
    </row>
    <row r="867" s="3" customFormat="1" ht="18.75" spans="1:5">
      <c r="A867" s="8" t="str">
        <f t="shared" si="14"/>
        <v>250004</v>
      </c>
      <c r="B867" s="8" t="str">
        <f>"2561401012923"</f>
        <v>2561401012923</v>
      </c>
      <c r="C867" s="8" t="s">
        <v>7</v>
      </c>
      <c r="D867" s="9">
        <v>52.37</v>
      </c>
      <c r="E867" s="8">
        <v>51</v>
      </c>
    </row>
    <row r="868" s="3" customFormat="1" ht="18.75" spans="1:5">
      <c r="A868" s="8" t="str">
        <f t="shared" si="14"/>
        <v>250004</v>
      </c>
      <c r="B868" s="8" t="str">
        <f>"2561401013008"</f>
        <v>2561401013008</v>
      </c>
      <c r="C868" s="8" t="s">
        <v>7</v>
      </c>
      <c r="D868" s="9">
        <v>51.98</v>
      </c>
      <c r="E868" s="8">
        <v>52</v>
      </c>
    </row>
    <row r="869" s="3" customFormat="1" ht="18.75" spans="1:5">
      <c r="A869" s="8" t="str">
        <f t="shared" si="14"/>
        <v>250004</v>
      </c>
      <c r="B869" s="8" t="str">
        <f>"2561401012930"</f>
        <v>2561401012930</v>
      </c>
      <c r="C869" s="8" t="s">
        <v>7</v>
      </c>
      <c r="D869" s="9">
        <v>51.67</v>
      </c>
      <c r="E869" s="8">
        <v>53</v>
      </c>
    </row>
    <row r="870" s="3" customFormat="1" ht="18.75" spans="1:5">
      <c r="A870" s="8" t="str">
        <f t="shared" si="14"/>
        <v>250004</v>
      </c>
      <c r="B870" s="8" t="str">
        <f>"2561401012812"</f>
        <v>2561401012812</v>
      </c>
      <c r="C870" s="8" t="s">
        <v>7</v>
      </c>
      <c r="D870" s="9">
        <v>51.64</v>
      </c>
      <c r="E870" s="8">
        <v>54</v>
      </c>
    </row>
    <row r="871" s="3" customFormat="1" ht="18.75" spans="1:5">
      <c r="A871" s="8" t="str">
        <f t="shared" si="14"/>
        <v>250004</v>
      </c>
      <c r="B871" s="8" t="str">
        <f>"2561401012929"</f>
        <v>2561401012929</v>
      </c>
      <c r="C871" s="8" t="s">
        <v>7</v>
      </c>
      <c r="D871" s="9">
        <v>51.42</v>
      </c>
      <c r="E871" s="8">
        <v>55</v>
      </c>
    </row>
    <row r="872" s="3" customFormat="1" ht="18.75" spans="1:5">
      <c r="A872" s="8" t="str">
        <f t="shared" si="14"/>
        <v>250004</v>
      </c>
      <c r="B872" s="8" t="str">
        <f>"2561401012826"</f>
        <v>2561401012826</v>
      </c>
      <c r="C872" s="8" t="s">
        <v>7</v>
      </c>
      <c r="D872" s="9">
        <v>50.77</v>
      </c>
      <c r="E872" s="8">
        <v>56</v>
      </c>
    </row>
    <row r="873" s="3" customFormat="1" ht="18.75" spans="1:5">
      <c r="A873" s="8" t="str">
        <f t="shared" si="14"/>
        <v>250004</v>
      </c>
      <c r="B873" s="8" t="str">
        <f>"2561401012915"</f>
        <v>2561401012915</v>
      </c>
      <c r="C873" s="8" t="s">
        <v>7</v>
      </c>
      <c r="D873" s="9">
        <v>50.12</v>
      </c>
      <c r="E873" s="8">
        <v>57</v>
      </c>
    </row>
    <row r="874" s="3" customFormat="1" ht="18.75" spans="1:5">
      <c r="A874" s="8" t="str">
        <f t="shared" si="14"/>
        <v>250004</v>
      </c>
      <c r="B874" s="8" t="str">
        <f>"2561401012829"</f>
        <v>2561401012829</v>
      </c>
      <c r="C874" s="8" t="s">
        <v>7</v>
      </c>
      <c r="D874" s="9">
        <v>48.54</v>
      </c>
      <c r="E874" s="8">
        <v>58</v>
      </c>
    </row>
    <row r="875" s="3" customFormat="1" ht="18.75" spans="1:5">
      <c r="A875" s="8" t="str">
        <f t="shared" si="14"/>
        <v>250004</v>
      </c>
      <c r="B875" s="8" t="str">
        <f>"2561401013019"</f>
        <v>2561401013019</v>
      </c>
      <c r="C875" s="8" t="s">
        <v>7</v>
      </c>
      <c r="D875" s="9">
        <v>47.19</v>
      </c>
      <c r="E875" s="8">
        <v>59</v>
      </c>
    </row>
    <row r="876" s="3" customFormat="1" ht="18.75" spans="1:5">
      <c r="A876" s="8" t="str">
        <f t="shared" si="14"/>
        <v>250004</v>
      </c>
      <c r="B876" s="8" t="str">
        <f>"2561401013025"</f>
        <v>2561401013025</v>
      </c>
      <c r="C876" s="8" t="s">
        <v>7</v>
      </c>
      <c r="D876" s="9">
        <v>47.14</v>
      </c>
      <c r="E876" s="8">
        <v>60</v>
      </c>
    </row>
    <row r="877" s="3" customFormat="1" ht="18.75" spans="1:5">
      <c r="A877" s="8" t="str">
        <f t="shared" si="14"/>
        <v>250004</v>
      </c>
      <c r="B877" s="8" t="str">
        <f>"2561401013029"</f>
        <v>2561401013029</v>
      </c>
      <c r="C877" s="8" t="s">
        <v>7</v>
      </c>
      <c r="D877" s="9">
        <v>46.35</v>
      </c>
      <c r="E877" s="8">
        <v>61</v>
      </c>
    </row>
    <row r="878" s="3" customFormat="1" ht="18.75" spans="1:5">
      <c r="A878" s="8" t="str">
        <f t="shared" si="14"/>
        <v>250004</v>
      </c>
      <c r="B878" s="8" t="str">
        <f>"2561401012827"</f>
        <v>2561401012827</v>
      </c>
      <c r="C878" s="8" t="s">
        <v>7</v>
      </c>
      <c r="D878" s="9">
        <v>45.05</v>
      </c>
      <c r="E878" s="8">
        <v>62</v>
      </c>
    </row>
    <row r="879" s="3" customFormat="1" ht="18.75" spans="1:5">
      <c r="A879" s="8" t="str">
        <f t="shared" si="14"/>
        <v>250004</v>
      </c>
      <c r="B879" s="8" t="str">
        <f>"2561401013027"</f>
        <v>2561401013027</v>
      </c>
      <c r="C879" s="8" t="s">
        <v>7</v>
      </c>
      <c r="D879" s="9">
        <v>44.77</v>
      </c>
      <c r="E879" s="8">
        <v>63</v>
      </c>
    </row>
    <row r="880" s="3" customFormat="1" ht="18.75" spans="1:5">
      <c r="A880" s="8" t="str">
        <f t="shared" si="14"/>
        <v>250004</v>
      </c>
      <c r="B880" s="8" t="str">
        <f>"2561401013015"</f>
        <v>2561401013015</v>
      </c>
      <c r="C880" s="8" t="s">
        <v>7</v>
      </c>
      <c r="D880" s="9">
        <v>44.64</v>
      </c>
      <c r="E880" s="8">
        <v>64</v>
      </c>
    </row>
    <row r="881" s="3" customFormat="1" ht="18.75" spans="1:5">
      <c r="A881" s="8" t="str">
        <f t="shared" ref="A881:A902" si="15">"250004"</f>
        <v>250004</v>
      </c>
      <c r="B881" s="8" t="str">
        <f>"2561401012901"</f>
        <v>2561401012901</v>
      </c>
      <c r="C881" s="8" t="s">
        <v>7</v>
      </c>
      <c r="D881" s="9">
        <v>41.54</v>
      </c>
      <c r="E881" s="8">
        <v>65</v>
      </c>
    </row>
    <row r="882" s="3" customFormat="1" ht="18.75" spans="1:5">
      <c r="A882" s="8" t="str">
        <f t="shared" si="15"/>
        <v>250004</v>
      </c>
      <c r="B882" s="8" t="str">
        <f>"2561401013017"</f>
        <v>2561401013017</v>
      </c>
      <c r="C882" s="8" t="s">
        <v>7</v>
      </c>
      <c r="D882" s="9">
        <v>40.8</v>
      </c>
      <c r="E882" s="8">
        <v>66</v>
      </c>
    </row>
    <row r="883" s="3" customFormat="1" ht="18.75" spans="1:5">
      <c r="A883" s="8" t="str">
        <f t="shared" si="15"/>
        <v>250004</v>
      </c>
      <c r="B883" s="8" t="str">
        <f>"2561401012813"</f>
        <v>2561401012813</v>
      </c>
      <c r="C883" s="8" t="s">
        <v>7</v>
      </c>
      <c r="D883" s="9">
        <v>37.2</v>
      </c>
      <c r="E883" s="8">
        <v>67</v>
      </c>
    </row>
    <row r="884" s="3" customFormat="1" ht="18.75" spans="1:5">
      <c r="A884" s="8" t="str">
        <f t="shared" si="15"/>
        <v>250004</v>
      </c>
      <c r="B884" s="8" t="str">
        <f>"2561401013010"</f>
        <v>2561401013010</v>
      </c>
      <c r="C884" s="8" t="s">
        <v>7</v>
      </c>
      <c r="D884" s="9">
        <v>34.52</v>
      </c>
      <c r="E884" s="8">
        <v>68</v>
      </c>
    </row>
    <row r="885" s="3" customFormat="1" ht="18.75" spans="1:5">
      <c r="A885" s="8" t="str">
        <f t="shared" si="15"/>
        <v>250004</v>
      </c>
      <c r="B885" s="8" t="str">
        <f>"2561401013016"</f>
        <v>2561401013016</v>
      </c>
      <c r="C885" s="8" t="s">
        <v>7</v>
      </c>
      <c r="D885" s="9">
        <v>34.35</v>
      </c>
      <c r="E885" s="8">
        <v>69</v>
      </c>
    </row>
    <row r="886" s="3" customFormat="1" ht="18.75" spans="1:5">
      <c r="A886" s="8" t="str">
        <f t="shared" si="15"/>
        <v>250004</v>
      </c>
      <c r="B886" s="8" t="str">
        <f>"2561401012830"</f>
        <v>2561401012830</v>
      </c>
      <c r="C886" s="8" t="s">
        <v>7</v>
      </c>
      <c r="D886" s="9">
        <v>28.66</v>
      </c>
      <c r="E886" s="8">
        <v>70</v>
      </c>
    </row>
    <row r="887" s="3" customFormat="1" ht="18.75" spans="1:5">
      <c r="A887" s="8" t="str">
        <f t="shared" si="15"/>
        <v>250004</v>
      </c>
      <c r="B887" s="8" t="str">
        <f>"2561401012809"</f>
        <v>2561401012809</v>
      </c>
      <c r="C887" s="8" t="s">
        <v>7</v>
      </c>
      <c r="D887" s="9">
        <v>0</v>
      </c>
      <c r="E887" s="8">
        <v>71</v>
      </c>
    </row>
    <row r="888" s="3" customFormat="1" ht="18.75" spans="1:5">
      <c r="A888" s="8" t="str">
        <f t="shared" si="15"/>
        <v>250004</v>
      </c>
      <c r="B888" s="8" t="str">
        <f>"2561401012814"</f>
        <v>2561401012814</v>
      </c>
      <c r="C888" s="8" t="s">
        <v>7</v>
      </c>
      <c r="D888" s="9">
        <v>0</v>
      </c>
      <c r="E888" s="8">
        <v>71</v>
      </c>
    </row>
    <row r="889" s="3" customFormat="1" ht="18.75" spans="1:5">
      <c r="A889" s="8" t="str">
        <f t="shared" si="15"/>
        <v>250004</v>
      </c>
      <c r="B889" s="8" t="str">
        <f>"2561401012816"</f>
        <v>2561401012816</v>
      </c>
      <c r="C889" s="8" t="s">
        <v>7</v>
      </c>
      <c r="D889" s="9">
        <v>0</v>
      </c>
      <c r="E889" s="8">
        <v>71</v>
      </c>
    </row>
    <row r="890" s="3" customFormat="1" ht="18.75" spans="1:5">
      <c r="A890" s="8" t="str">
        <f t="shared" si="15"/>
        <v>250004</v>
      </c>
      <c r="B890" s="8" t="str">
        <f>"2561401012823"</f>
        <v>2561401012823</v>
      </c>
      <c r="C890" s="8" t="s">
        <v>7</v>
      </c>
      <c r="D890" s="9">
        <v>0</v>
      </c>
      <c r="E890" s="8">
        <v>71</v>
      </c>
    </row>
    <row r="891" s="3" customFormat="1" ht="18.75" spans="1:5">
      <c r="A891" s="8" t="str">
        <f t="shared" si="15"/>
        <v>250004</v>
      </c>
      <c r="B891" s="8" t="str">
        <f>"2561401012907"</f>
        <v>2561401012907</v>
      </c>
      <c r="C891" s="8" t="s">
        <v>7</v>
      </c>
      <c r="D891" s="9">
        <v>0</v>
      </c>
      <c r="E891" s="8">
        <v>71</v>
      </c>
    </row>
    <row r="892" s="3" customFormat="1" ht="18.75" spans="1:5">
      <c r="A892" s="8" t="str">
        <f t="shared" si="15"/>
        <v>250004</v>
      </c>
      <c r="B892" s="8" t="str">
        <f>"2561401012910"</f>
        <v>2561401012910</v>
      </c>
      <c r="C892" s="8" t="s">
        <v>7</v>
      </c>
      <c r="D892" s="9">
        <v>0</v>
      </c>
      <c r="E892" s="8">
        <v>71</v>
      </c>
    </row>
    <row r="893" s="3" customFormat="1" ht="18.75" spans="1:5">
      <c r="A893" s="8" t="str">
        <f t="shared" si="15"/>
        <v>250004</v>
      </c>
      <c r="B893" s="8" t="str">
        <f>"2561401012912"</f>
        <v>2561401012912</v>
      </c>
      <c r="C893" s="8" t="s">
        <v>7</v>
      </c>
      <c r="D893" s="9">
        <v>0</v>
      </c>
      <c r="E893" s="8">
        <v>71</v>
      </c>
    </row>
    <row r="894" s="3" customFormat="1" ht="18.75" spans="1:5">
      <c r="A894" s="8" t="str">
        <f t="shared" si="15"/>
        <v>250004</v>
      </c>
      <c r="B894" s="8" t="str">
        <f>"2561401012916"</f>
        <v>2561401012916</v>
      </c>
      <c r="C894" s="8" t="s">
        <v>7</v>
      </c>
      <c r="D894" s="9">
        <v>0</v>
      </c>
      <c r="E894" s="8">
        <v>71</v>
      </c>
    </row>
    <row r="895" s="3" customFormat="1" ht="18.75" spans="1:5">
      <c r="A895" s="8" t="str">
        <f t="shared" si="15"/>
        <v>250004</v>
      </c>
      <c r="B895" s="8" t="str">
        <f>"2561401012917"</f>
        <v>2561401012917</v>
      </c>
      <c r="C895" s="8" t="s">
        <v>7</v>
      </c>
      <c r="D895" s="9">
        <v>0</v>
      </c>
      <c r="E895" s="8">
        <v>71</v>
      </c>
    </row>
    <row r="896" s="3" customFormat="1" ht="18.75" spans="1:5">
      <c r="A896" s="8" t="str">
        <f t="shared" si="15"/>
        <v>250004</v>
      </c>
      <c r="B896" s="8" t="str">
        <f>"2561401012918"</f>
        <v>2561401012918</v>
      </c>
      <c r="C896" s="8" t="s">
        <v>7</v>
      </c>
      <c r="D896" s="9">
        <v>0</v>
      </c>
      <c r="E896" s="8">
        <v>71</v>
      </c>
    </row>
    <row r="897" s="3" customFormat="1" ht="18.75" spans="1:5">
      <c r="A897" s="8" t="str">
        <f t="shared" si="15"/>
        <v>250004</v>
      </c>
      <c r="B897" s="8" t="str">
        <f>"2561401012921"</f>
        <v>2561401012921</v>
      </c>
      <c r="C897" s="8" t="s">
        <v>7</v>
      </c>
      <c r="D897" s="9">
        <v>0</v>
      </c>
      <c r="E897" s="8">
        <v>71</v>
      </c>
    </row>
    <row r="898" s="3" customFormat="1" ht="18.75" spans="1:5">
      <c r="A898" s="8" t="str">
        <f t="shared" si="15"/>
        <v>250004</v>
      </c>
      <c r="B898" s="8" t="str">
        <f>"2561401012922"</f>
        <v>2561401012922</v>
      </c>
      <c r="C898" s="8" t="s">
        <v>7</v>
      </c>
      <c r="D898" s="9">
        <v>0</v>
      </c>
      <c r="E898" s="8">
        <v>71</v>
      </c>
    </row>
    <row r="899" s="3" customFormat="1" ht="18.75" spans="1:5">
      <c r="A899" s="8" t="str">
        <f t="shared" si="15"/>
        <v>250004</v>
      </c>
      <c r="B899" s="8" t="str">
        <f>"2561401013003"</f>
        <v>2561401013003</v>
      </c>
      <c r="C899" s="8" t="s">
        <v>7</v>
      </c>
      <c r="D899" s="9">
        <v>0</v>
      </c>
      <c r="E899" s="8">
        <v>71</v>
      </c>
    </row>
    <row r="900" s="3" customFormat="1" ht="18.75" spans="1:5">
      <c r="A900" s="8" t="str">
        <f t="shared" si="15"/>
        <v>250004</v>
      </c>
      <c r="B900" s="8" t="str">
        <f>"2561401013006"</f>
        <v>2561401013006</v>
      </c>
      <c r="C900" s="8" t="s">
        <v>7</v>
      </c>
      <c r="D900" s="9">
        <v>0</v>
      </c>
      <c r="E900" s="8">
        <v>71</v>
      </c>
    </row>
    <row r="901" s="3" customFormat="1" ht="18.75" spans="1:5">
      <c r="A901" s="8" t="str">
        <f t="shared" si="15"/>
        <v>250004</v>
      </c>
      <c r="B901" s="8" t="str">
        <f>"2561401013007"</f>
        <v>2561401013007</v>
      </c>
      <c r="C901" s="8" t="s">
        <v>7</v>
      </c>
      <c r="D901" s="9">
        <v>0</v>
      </c>
      <c r="E901" s="8">
        <v>71</v>
      </c>
    </row>
    <row r="902" s="3" customFormat="1" ht="18.75" spans="1:5">
      <c r="A902" s="8" t="str">
        <f t="shared" si="15"/>
        <v>250004</v>
      </c>
      <c r="B902" s="8" t="str">
        <f>"2561401013028"</f>
        <v>2561401013028</v>
      </c>
      <c r="C902" s="8" t="s">
        <v>7</v>
      </c>
      <c r="D902" s="9">
        <v>0</v>
      </c>
      <c r="E902" s="8">
        <v>71</v>
      </c>
    </row>
    <row r="903" s="3" customFormat="1" ht="18.75" spans="1:5">
      <c r="A903" s="8" t="str">
        <f t="shared" ref="A903:A966" si="16">"250005"</f>
        <v>250005</v>
      </c>
      <c r="B903" s="8" t="str">
        <f>"2561401013502"</f>
        <v>2561401013502</v>
      </c>
      <c r="C903" s="8" t="s">
        <v>7</v>
      </c>
      <c r="D903" s="9">
        <v>71.69</v>
      </c>
      <c r="E903" s="8">
        <v>1</v>
      </c>
    </row>
    <row r="904" s="3" customFormat="1" ht="18.75" spans="1:5">
      <c r="A904" s="8" t="str">
        <f t="shared" si="16"/>
        <v>250005</v>
      </c>
      <c r="B904" s="8" t="str">
        <f>"2561401013607"</f>
        <v>2561401013607</v>
      </c>
      <c r="C904" s="8" t="s">
        <v>7</v>
      </c>
      <c r="D904" s="9">
        <v>70.77</v>
      </c>
      <c r="E904" s="8">
        <v>2</v>
      </c>
    </row>
    <row r="905" s="3" customFormat="1" ht="18.75" spans="1:5">
      <c r="A905" s="8" t="str">
        <f t="shared" si="16"/>
        <v>250005</v>
      </c>
      <c r="B905" s="8" t="str">
        <f>"2561401013807"</f>
        <v>2561401013807</v>
      </c>
      <c r="C905" s="8" t="s">
        <v>7</v>
      </c>
      <c r="D905" s="9">
        <v>69.73</v>
      </c>
      <c r="E905" s="8">
        <v>3</v>
      </c>
    </row>
    <row r="906" s="3" customFormat="1" ht="18.75" spans="1:5">
      <c r="A906" s="8" t="str">
        <f t="shared" si="16"/>
        <v>250005</v>
      </c>
      <c r="B906" s="8" t="str">
        <f>"2561401013314"</f>
        <v>2561401013314</v>
      </c>
      <c r="C906" s="8" t="s">
        <v>7</v>
      </c>
      <c r="D906" s="9">
        <v>68.79</v>
      </c>
      <c r="E906" s="8">
        <v>4</v>
      </c>
    </row>
    <row r="907" s="3" customFormat="1" ht="18.75" spans="1:5">
      <c r="A907" s="8" t="str">
        <f t="shared" si="16"/>
        <v>250005</v>
      </c>
      <c r="B907" s="8" t="str">
        <f>"2561401013622"</f>
        <v>2561401013622</v>
      </c>
      <c r="C907" s="8" t="s">
        <v>7</v>
      </c>
      <c r="D907" s="9">
        <v>68.29</v>
      </c>
      <c r="E907" s="8">
        <v>5</v>
      </c>
    </row>
    <row r="908" s="3" customFormat="1" ht="18.75" spans="1:5">
      <c r="A908" s="8" t="str">
        <f t="shared" si="16"/>
        <v>250005</v>
      </c>
      <c r="B908" s="8" t="str">
        <f>"2561401013220"</f>
        <v>2561401013220</v>
      </c>
      <c r="C908" s="8" t="s">
        <v>7</v>
      </c>
      <c r="D908" s="9">
        <v>67.38</v>
      </c>
      <c r="E908" s="8">
        <v>6</v>
      </c>
    </row>
    <row r="909" s="3" customFormat="1" ht="18.75" spans="1:5">
      <c r="A909" s="8" t="str">
        <f t="shared" si="16"/>
        <v>250005</v>
      </c>
      <c r="B909" s="8" t="str">
        <f>"2561401013224"</f>
        <v>2561401013224</v>
      </c>
      <c r="C909" s="8" t="s">
        <v>7</v>
      </c>
      <c r="D909" s="9">
        <v>66.84</v>
      </c>
      <c r="E909" s="8">
        <v>7</v>
      </c>
    </row>
    <row r="910" s="3" customFormat="1" ht="18.75" spans="1:5">
      <c r="A910" s="8" t="str">
        <f t="shared" si="16"/>
        <v>250005</v>
      </c>
      <c r="B910" s="8" t="str">
        <f>"2561401013720"</f>
        <v>2561401013720</v>
      </c>
      <c r="C910" s="8" t="s">
        <v>7</v>
      </c>
      <c r="D910" s="9">
        <v>66.65</v>
      </c>
      <c r="E910" s="8">
        <v>8</v>
      </c>
    </row>
    <row r="911" s="3" customFormat="1" ht="18.75" spans="1:5">
      <c r="A911" s="8" t="str">
        <f t="shared" si="16"/>
        <v>250005</v>
      </c>
      <c r="B911" s="8" t="str">
        <f>"2561401013612"</f>
        <v>2561401013612</v>
      </c>
      <c r="C911" s="8" t="s">
        <v>7</v>
      </c>
      <c r="D911" s="9">
        <v>66.45</v>
      </c>
      <c r="E911" s="8">
        <v>9</v>
      </c>
    </row>
    <row r="912" s="3" customFormat="1" ht="18.75" spans="1:5">
      <c r="A912" s="8" t="str">
        <f t="shared" si="16"/>
        <v>250005</v>
      </c>
      <c r="B912" s="8" t="str">
        <f>"2561401014007"</f>
        <v>2561401014007</v>
      </c>
      <c r="C912" s="8" t="s">
        <v>7</v>
      </c>
      <c r="D912" s="9">
        <v>66.3</v>
      </c>
      <c r="E912" s="8">
        <v>10</v>
      </c>
    </row>
    <row r="913" s="3" customFormat="1" ht="18.75" spans="1:5">
      <c r="A913" s="8" t="str">
        <f t="shared" si="16"/>
        <v>250005</v>
      </c>
      <c r="B913" s="8" t="str">
        <f>"2561401013616"</f>
        <v>2561401013616</v>
      </c>
      <c r="C913" s="8" t="s">
        <v>7</v>
      </c>
      <c r="D913" s="9">
        <v>66</v>
      </c>
      <c r="E913" s="8">
        <v>11</v>
      </c>
    </row>
    <row r="914" s="3" customFormat="1" ht="18.75" spans="1:5">
      <c r="A914" s="8" t="str">
        <f t="shared" si="16"/>
        <v>250005</v>
      </c>
      <c r="B914" s="8" t="str">
        <f>"2561401013229"</f>
        <v>2561401013229</v>
      </c>
      <c r="C914" s="8" t="s">
        <v>7</v>
      </c>
      <c r="D914" s="9">
        <v>65.9</v>
      </c>
      <c r="E914" s="8">
        <v>12</v>
      </c>
    </row>
    <row r="915" s="3" customFormat="1" ht="18.75" spans="1:5">
      <c r="A915" s="8" t="str">
        <f t="shared" si="16"/>
        <v>250005</v>
      </c>
      <c r="B915" s="8" t="str">
        <f>"2561401013617"</f>
        <v>2561401013617</v>
      </c>
      <c r="C915" s="8" t="s">
        <v>7</v>
      </c>
      <c r="D915" s="9">
        <v>65.83</v>
      </c>
      <c r="E915" s="8">
        <v>13</v>
      </c>
    </row>
    <row r="916" s="3" customFormat="1" ht="18.75" spans="1:5">
      <c r="A916" s="8" t="str">
        <f t="shared" si="16"/>
        <v>250005</v>
      </c>
      <c r="B916" s="8" t="str">
        <f>"2561401013501"</f>
        <v>2561401013501</v>
      </c>
      <c r="C916" s="8" t="s">
        <v>7</v>
      </c>
      <c r="D916" s="9">
        <v>65.64</v>
      </c>
      <c r="E916" s="8">
        <v>14</v>
      </c>
    </row>
    <row r="917" s="3" customFormat="1" ht="18.75" spans="1:5">
      <c r="A917" s="8" t="str">
        <f t="shared" si="16"/>
        <v>250005</v>
      </c>
      <c r="B917" s="8" t="str">
        <f>"2561401013327"</f>
        <v>2561401013327</v>
      </c>
      <c r="C917" s="8" t="s">
        <v>7</v>
      </c>
      <c r="D917" s="9">
        <v>65.5</v>
      </c>
      <c r="E917" s="8">
        <v>15</v>
      </c>
    </row>
    <row r="918" s="3" customFormat="1" ht="18.75" spans="1:5">
      <c r="A918" s="8" t="str">
        <f t="shared" si="16"/>
        <v>250005</v>
      </c>
      <c r="B918" s="8" t="str">
        <f>"2561401013808"</f>
        <v>2561401013808</v>
      </c>
      <c r="C918" s="8" t="s">
        <v>7</v>
      </c>
      <c r="D918" s="9">
        <v>65.37</v>
      </c>
      <c r="E918" s="8">
        <v>16</v>
      </c>
    </row>
    <row r="919" s="3" customFormat="1" ht="18.75" spans="1:5">
      <c r="A919" s="8" t="str">
        <f t="shared" si="16"/>
        <v>250005</v>
      </c>
      <c r="B919" s="8" t="str">
        <f>"2561401013907"</f>
        <v>2561401013907</v>
      </c>
      <c r="C919" s="8" t="s">
        <v>7</v>
      </c>
      <c r="D919" s="9">
        <v>65.25</v>
      </c>
      <c r="E919" s="8">
        <v>17</v>
      </c>
    </row>
    <row r="920" s="3" customFormat="1" ht="18.75" spans="1:5">
      <c r="A920" s="8" t="str">
        <f t="shared" si="16"/>
        <v>250005</v>
      </c>
      <c r="B920" s="8" t="str">
        <f>"2561401013412"</f>
        <v>2561401013412</v>
      </c>
      <c r="C920" s="8" t="s">
        <v>7</v>
      </c>
      <c r="D920" s="9">
        <v>65.09</v>
      </c>
      <c r="E920" s="8">
        <v>18</v>
      </c>
    </row>
    <row r="921" s="3" customFormat="1" ht="18.75" spans="1:5">
      <c r="A921" s="8" t="str">
        <f t="shared" si="16"/>
        <v>250005</v>
      </c>
      <c r="B921" s="8" t="str">
        <f>"2561401013410"</f>
        <v>2561401013410</v>
      </c>
      <c r="C921" s="8" t="s">
        <v>7</v>
      </c>
      <c r="D921" s="9">
        <v>64.97</v>
      </c>
      <c r="E921" s="8">
        <v>19</v>
      </c>
    </row>
    <row r="922" s="3" customFormat="1" ht="18.75" spans="1:5">
      <c r="A922" s="8" t="str">
        <f t="shared" si="16"/>
        <v>250005</v>
      </c>
      <c r="B922" s="8" t="str">
        <f>"2561401013911"</f>
        <v>2561401013911</v>
      </c>
      <c r="C922" s="8" t="s">
        <v>7</v>
      </c>
      <c r="D922" s="9">
        <v>64.71</v>
      </c>
      <c r="E922" s="8">
        <v>20</v>
      </c>
    </row>
    <row r="923" s="3" customFormat="1" ht="18.75" spans="1:5">
      <c r="A923" s="8" t="str">
        <f t="shared" si="16"/>
        <v>250005</v>
      </c>
      <c r="B923" s="8" t="str">
        <f>"2561401013422"</f>
        <v>2561401013422</v>
      </c>
      <c r="C923" s="8" t="s">
        <v>7</v>
      </c>
      <c r="D923" s="9">
        <v>64.68</v>
      </c>
      <c r="E923" s="8">
        <v>21</v>
      </c>
    </row>
    <row r="924" s="3" customFormat="1" ht="18.75" spans="1:5">
      <c r="A924" s="8" t="str">
        <f t="shared" si="16"/>
        <v>250005</v>
      </c>
      <c r="B924" s="8" t="str">
        <f>"2561401013817"</f>
        <v>2561401013817</v>
      </c>
      <c r="C924" s="8" t="s">
        <v>7</v>
      </c>
      <c r="D924" s="9">
        <v>64.51</v>
      </c>
      <c r="E924" s="8">
        <v>22</v>
      </c>
    </row>
    <row r="925" s="3" customFormat="1" ht="18.75" spans="1:5">
      <c r="A925" s="8" t="str">
        <f t="shared" si="16"/>
        <v>250005</v>
      </c>
      <c r="B925" s="8" t="str">
        <f>"2561401013905"</f>
        <v>2561401013905</v>
      </c>
      <c r="C925" s="8" t="s">
        <v>7</v>
      </c>
      <c r="D925" s="9">
        <v>64.18</v>
      </c>
      <c r="E925" s="8">
        <v>23</v>
      </c>
    </row>
    <row r="926" s="3" customFormat="1" ht="18.75" spans="1:5">
      <c r="A926" s="8" t="str">
        <f t="shared" si="16"/>
        <v>250005</v>
      </c>
      <c r="B926" s="8" t="str">
        <f>"2561401013914"</f>
        <v>2561401013914</v>
      </c>
      <c r="C926" s="8" t="s">
        <v>7</v>
      </c>
      <c r="D926" s="9">
        <v>64.14</v>
      </c>
      <c r="E926" s="8">
        <v>24</v>
      </c>
    </row>
    <row r="927" s="3" customFormat="1" ht="18.75" spans="1:5">
      <c r="A927" s="8" t="str">
        <f t="shared" si="16"/>
        <v>250005</v>
      </c>
      <c r="B927" s="8" t="str">
        <f>"2561401014015"</f>
        <v>2561401014015</v>
      </c>
      <c r="C927" s="8" t="s">
        <v>7</v>
      </c>
      <c r="D927" s="9">
        <v>63.89</v>
      </c>
      <c r="E927" s="8">
        <v>25</v>
      </c>
    </row>
    <row r="928" s="3" customFormat="1" ht="18.75" spans="1:5">
      <c r="A928" s="8" t="str">
        <f t="shared" si="16"/>
        <v>250005</v>
      </c>
      <c r="B928" s="8" t="str">
        <f>"2561401013830"</f>
        <v>2561401013830</v>
      </c>
      <c r="C928" s="8" t="s">
        <v>7</v>
      </c>
      <c r="D928" s="9">
        <v>63.62</v>
      </c>
      <c r="E928" s="8">
        <v>26</v>
      </c>
    </row>
    <row r="929" s="3" customFormat="1" ht="18.75" spans="1:5">
      <c r="A929" s="8" t="str">
        <f t="shared" si="16"/>
        <v>250005</v>
      </c>
      <c r="B929" s="8" t="str">
        <f>"2561401013209"</f>
        <v>2561401013209</v>
      </c>
      <c r="C929" s="8" t="s">
        <v>7</v>
      </c>
      <c r="D929" s="9">
        <v>63.47</v>
      </c>
      <c r="E929" s="8">
        <v>27</v>
      </c>
    </row>
    <row r="930" s="3" customFormat="1" ht="18.75" spans="1:5">
      <c r="A930" s="8" t="str">
        <f t="shared" si="16"/>
        <v>250005</v>
      </c>
      <c r="B930" s="8" t="str">
        <f>"2561401013305"</f>
        <v>2561401013305</v>
      </c>
      <c r="C930" s="8" t="s">
        <v>7</v>
      </c>
      <c r="D930" s="9">
        <v>63.28</v>
      </c>
      <c r="E930" s="8">
        <v>28</v>
      </c>
    </row>
    <row r="931" s="3" customFormat="1" ht="18.75" spans="1:5">
      <c r="A931" s="8" t="str">
        <f t="shared" si="16"/>
        <v>250005</v>
      </c>
      <c r="B931" s="8" t="str">
        <f>"2561401013723"</f>
        <v>2561401013723</v>
      </c>
      <c r="C931" s="8" t="s">
        <v>7</v>
      </c>
      <c r="D931" s="9">
        <v>62.96</v>
      </c>
      <c r="E931" s="8">
        <v>29</v>
      </c>
    </row>
    <row r="932" s="3" customFormat="1" ht="18.75" spans="1:5">
      <c r="A932" s="8" t="str">
        <f t="shared" si="16"/>
        <v>250005</v>
      </c>
      <c r="B932" s="8" t="str">
        <f>"2561401013425"</f>
        <v>2561401013425</v>
      </c>
      <c r="C932" s="8" t="s">
        <v>7</v>
      </c>
      <c r="D932" s="9">
        <v>62.87</v>
      </c>
      <c r="E932" s="8">
        <v>30</v>
      </c>
    </row>
    <row r="933" s="3" customFormat="1" ht="18.75" spans="1:5">
      <c r="A933" s="8" t="str">
        <f t="shared" si="16"/>
        <v>250005</v>
      </c>
      <c r="B933" s="8" t="str">
        <f>"2561401013918"</f>
        <v>2561401013918</v>
      </c>
      <c r="C933" s="8" t="s">
        <v>7</v>
      </c>
      <c r="D933" s="9">
        <v>62.85</v>
      </c>
      <c r="E933" s="8">
        <v>31</v>
      </c>
    </row>
    <row r="934" s="3" customFormat="1" ht="18.75" spans="1:5">
      <c r="A934" s="8" t="str">
        <f t="shared" si="16"/>
        <v>250005</v>
      </c>
      <c r="B934" s="8" t="str">
        <f>"2561401013221"</f>
        <v>2561401013221</v>
      </c>
      <c r="C934" s="8" t="s">
        <v>7</v>
      </c>
      <c r="D934" s="9">
        <v>62.7</v>
      </c>
      <c r="E934" s="8">
        <v>32</v>
      </c>
    </row>
    <row r="935" s="3" customFormat="1" ht="18.75" spans="1:5">
      <c r="A935" s="8" t="str">
        <f t="shared" si="16"/>
        <v>250005</v>
      </c>
      <c r="B935" s="8" t="str">
        <f>"2561401014002"</f>
        <v>2561401014002</v>
      </c>
      <c r="C935" s="8" t="s">
        <v>7</v>
      </c>
      <c r="D935" s="9">
        <v>62.7</v>
      </c>
      <c r="E935" s="8">
        <v>32</v>
      </c>
    </row>
    <row r="936" s="3" customFormat="1" ht="18.75" spans="1:5">
      <c r="A936" s="8" t="str">
        <f t="shared" si="16"/>
        <v>250005</v>
      </c>
      <c r="B936" s="8" t="str">
        <f>"2561401013810"</f>
        <v>2561401013810</v>
      </c>
      <c r="C936" s="8" t="s">
        <v>7</v>
      </c>
      <c r="D936" s="9">
        <v>62.58</v>
      </c>
      <c r="E936" s="8">
        <v>34</v>
      </c>
    </row>
    <row r="937" s="3" customFormat="1" ht="18.75" spans="1:5">
      <c r="A937" s="8" t="str">
        <f t="shared" si="16"/>
        <v>250005</v>
      </c>
      <c r="B937" s="8" t="str">
        <f>"2561401013727"</f>
        <v>2561401013727</v>
      </c>
      <c r="C937" s="8" t="s">
        <v>7</v>
      </c>
      <c r="D937" s="9">
        <v>62.21</v>
      </c>
      <c r="E937" s="8">
        <v>35</v>
      </c>
    </row>
    <row r="938" s="3" customFormat="1" ht="18.75" spans="1:5">
      <c r="A938" s="8" t="str">
        <f t="shared" si="16"/>
        <v>250005</v>
      </c>
      <c r="B938" s="8" t="str">
        <f>"2561401014016"</f>
        <v>2561401014016</v>
      </c>
      <c r="C938" s="8" t="s">
        <v>7</v>
      </c>
      <c r="D938" s="9">
        <v>62.21</v>
      </c>
      <c r="E938" s="8">
        <v>35</v>
      </c>
    </row>
    <row r="939" s="3" customFormat="1" ht="18.75" spans="1:5">
      <c r="A939" s="8" t="str">
        <f t="shared" si="16"/>
        <v>250005</v>
      </c>
      <c r="B939" s="8" t="str">
        <f>"2561401013611"</f>
        <v>2561401013611</v>
      </c>
      <c r="C939" s="8" t="s">
        <v>7</v>
      </c>
      <c r="D939" s="9">
        <v>61.92</v>
      </c>
      <c r="E939" s="8">
        <v>37</v>
      </c>
    </row>
    <row r="940" s="3" customFormat="1" ht="18.75" spans="1:5">
      <c r="A940" s="8" t="str">
        <f t="shared" si="16"/>
        <v>250005</v>
      </c>
      <c r="B940" s="8" t="str">
        <f>"2561401013902"</f>
        <v>2561401013902</v>
      </c>
      <c r="C940" s="8" t="s">
        <v>7</v>
      </c>
      <c r="D940" s="9">
        <v>61.89</v>
      </c>
      <c r="E940" s="8">
        <v>38</v>
      </c>
    </row>
    <row r="941" s="3" customFormat="1" ht="18.75" spans="1:5">
      <c r="A941" s="8" t="str">
        <f t="shared" si="16"/>
        <v>250005</v>
      </c>
      <c r="B941" s="8" t="str">
        <f>"2561401013713"</f>
        <v>2561401013713</v>
      </c>
      <c r="C941" s="8" t="s">
        <v>7</v>
      </c>
      <c r="D941" s="9">
        <v>61.77</v>
      </c>
      <c r="E941" s="8">
        <v>39</v>
      </c>
    </row>
    <row r="942" s="3" customFormat="1" ht="18.75" spans="1:5">
      <c r="A942" s="8" t="str">
        <f t="shared" si="16"/>
        <v>250005</v>
      </c>
      <c r="B942" s="8" t="str">
        <f>"2561401013128"</f>
        <v>2561401013128</v>
      </c>
      <c r="C942" s="8" t="s">
        <v>7</v>
      </c>
      <c r="D942" s="9">
        <v>61.64</v>
      </c>
      <c r="E942" s="8">
        <v>40</v>
      </c>
    </row>
    <row r="943" s="3" customFormat="1" ht="18.75" spans="1:5">
      <c r="A943" s="8" t="str">
        <f t="shared" si="16"/>
        <v>250005</v>
      </c>
      <c r="B943" s="8" t="str">
        <f>"2561401013816"</f>
        <v>2561401013816</v>
      </c>
      <c r="C943" s="8" t="s">
        <v>7</v>
      </c>
      <c r="D943" s="9">
        <v>61.64</v>
      </c>
      <c r="E943" s="8">
        <v>40</v>
      </c>
    </row>
    <row r="944" s="3" customFormat="1" ht="18.75" spans="1:5">
      <c r="A944" s="8" t="str">
        <f t="shared" si="16"/>
        <v>250005</v>
      </c>
      <c r="B944" s="8" t="str">
        <f>"2561401013506"</f>
        <v>2561401013506</v>
      </c>
      <c r="C944" s="8" t="s">
        <v>7</v>
      </c>
      <c r="D944" s="9">
        <v>61.58</v>
      </c>
      <c r="E944" s="8">
        <v>42</v>
      </c>
    </row>
    <row r="945" s="3" customFormat="1" ht="18.75" spans="1:5">
      <c r="A945" s="8" t="str">
        <f t="shared" si="16"/>
        <v>250005</v>
      </c>
      <c r="B945" s="8" t="str">
        <f>"2561401013424"</f>
        <v>2561401013424</v>
      </c>
      <c r="C945" s="8" t="s">
        <v>7</v>
      </c>
      <c r="D945" s="9">
        <v>61.48</v>
      </c>
      <c r="E945" s="8">
        <v>43</v>
      </c>
    </row>
    <row r="946" s="3" customFormat="1" ht="18.75" spans="1:5">
      <c r="A946" s="8" t="str">
        <f t="shared" si="16"/>
        <v>250005</v>
      </c>
      <c r="B946" s="8" t="str">
        <f>"2561401013319"</f>
        <v>2561401013319</v>
      </c>
      <c r="C946" s="8" t="s">
        <v>7</v>
      </c>
      <c r="D946" s="9">
        <v>61.39</v>
      </c>
      <c r="E946" s="8">
        <v>44</v>
      </c>
    </row>
    <row r="947" s="3" customFormat="1" ht="18.75" spans="1:5">
      <c r="A947" s="8" t="str">
        <f t="shared" si="16"/>
        <v>250005</v>
      </c>
      <c r="B947" s="8" t="str">
        <f>"2561401013103"</f>
        <v>2561401013103</v>
      </c>
      <c r="C947" s="8" t="s">
        <v>7</v>
      </c>
      <c r="D947" s="9">
        <v>61.1</v>
      </c>
      <c r="E947" s="8">
        <v>45</v>
      </c>
    </row>
    <row r="948" s="3" customFormat="1" ht="18.75" spans="1:5">
      <c r="A948" s="8" t="str">
        <f t="shared" si="16"/>
        <v>250005</v>
      </c>
      <c r="B948" s="8" t="str">
        <f>"2561401013126"</f>
        <v>2561401013126</v>
      </c>
      <c r="C948" s="8" t="s">
        <v>7</v>
      </c>
      <c r="D948" s="9">
        <v>60.97</v>
      </c>
      <c r="E948" s="8">
        <v>46</v>
      </c>
    </row>
    <row r="949" s="3" customFormat="1" ht="18.75" spans="1:5">
      <c r="A949" s="8" t="str">
        <f t="shared" si="16"/>
        <v>250005</v>
      </c>
      <c r="B949" s="8" t="str">
        <f>"2561401013408"</f>
        <v>2561401013408</v>
      </c>
      <c r="C949" s="8" t="s">
        <v>7</v>
      </c>
      <c r="D949" s="9">
        <v>60.93</v>
      </c>
      <c r="E949" s="8">
        <v>47</v>
      </c>
    </row>
    <row r="950" s="3" customFormat="1" ht="18.75" spans="1:5">
      <c r="A950" s="8" t="str">
        <f t="shared" si="16"/>
        <v>250005</v>
      </c>
      <c r="B950" s="8" t="str">
        <f>"2561401013608"</f>
        <v>2561401013608</v>
      </c>
      <c r="C950" s="8" t="s">
        <v>7</v>
      </c>
      <c r="D950" s="9">
        <v>60.91</v>
      </c>
      <c r="E950" s="8">
        <v>48</v>
      </c>
    </row>
    <row r="951" s="3" customFormat="1" ht="18.75" spans="1:5">
      <c r="A951" s="8" t="str">
        <f t="shared" si="16"/>
        <v>250005</v>
      </c>
      <c r="B951" s="8" t="str">
        <f>"2561401013104"</f>
        <v>2561401013104</v>
      </c>
      <c r="C951" s="8" t="s">
        <v>7</v>
      </c>
      <c r="D951" s="9">
        <v>60.73</v>
      </c>
      <c r="E951" s="8">
        <v>49</v>
      </c>
    </row>
    <row r="952" s="3" customFormat="1" ht="18.75" spans="1:5">
      <c r="A952" s="8" t="str">
        <f t="shared" si="16"/>
        <v>250005</v>
      </c>
      <c r="B952" s="8" t="str">
        <f>"2561401013925"</f>
        <v>2561401013925</v>
      </c>
      <c r="C952" s="8" t="s">
        <v>7</v>
      </c>
      <c r="D952" s="9">
        <v>60.64</v>
      </c>
      <c r="E952" s="8">
        <v>50</v>
      </c>
    </row>
    <row r="953" s="3" customFormat="1" ht="18.75" spans="1:5">
      <c r="A953" s="8" t="str">
        <f t="shared" si="16"/>
        <v>250005</v>
      </c>
      <c r="B953" s="8" t="str">
        <f>"2561401013504"</f>
        <v>2561401013504</v>
      </c>
      <c r="C953" s="8" t="s">
        <v>7</v>
      </c>
      <c r="D953" s="9">
        <v>60.51</v>
      </c>
      <c r="E953" s="8">
        <v>51</v>
      </c>
    </row>
    <row r="954" s="3" customFormat="1" ht="18.75" spans="1:5">
      <c r="A954" s="8" t="str">
        <f t="shared" si="16"/>
        <v>250005</v>
      </c>
      <c r="B954" s="8" t="str">
        <f>"2561401013322"</f>
        <v>2561401013322</v>
      </c>
      <c r="C954" s="8" t="s">
        <v>7</v>
      </c>
      <c r="D954" s="9">
        <v>60.46</v>
      </c>
      <c r="E954" s="8">
        <v>52</v>
      </c>
    </row>
    <row r="955" s="3" customFormat="1" ht="18.75" spans="1:5">
      <c r="A955" s="8" t="str">
        <f t="shared" si="16"/>
        <v>250005</v>
      </c>
      <c r="B955" s="8" t="str">
        <f>"2561401013503"</f>
        <v>2561401013503</v>
      </c>
      <c r="C955" s="8" t="s">
        <v>7</v>
      </c>
      <c r="D955" s="9">
        <v>60.35</v>
      </c>
      <c r="E955" s="8">
        <v>53</v>
      </c>
    </row>
    <row r="956" s="3" customFormat="1" ht="18.75" spans="1:5">
      <c r="A956" s="8" t="str">
        <f t="shared" si="16"/>
        <v>250005</v>
      </c>
      <c r="B956" s="8" t="str">
        <f>"2561401013605"</f>
        <v>2561401013605</v>
      </c>
      <c r="C956" s="8" t="s">
        <v>7</v>
      </c>
      <c r="D956" s="9">
        <v>60.32</v>
      </c>
      <c r="E956" s="8">
        <v>54</v>
      </c>
    </row>
    <row r="957" s="3" customFormat="1" ht="18.75" spans="1:5">
      <c r="A957" s="8" t="str">
        <f t="shared" si="16"/>
        <v>250005</v>
      </c>
      <c r="B957" s="8" t="str">
        <f>"2561401013223"</f>
        <v>2561401013223</v>
      </c>
      <c r="C957" s="8" t="s">
        <v>7</v>
      </c>
      <c r="D957" s="9">
        <v>60.03</v>
      </c>
      <c r="E957" s="8">
        <v>55</v>
      </c>
    </row>
    <row r="958" s="3" customFormat="1" ht="18.75" spans="1:5">
      <c r="A958" s="8" t="str">
        <f t="shared" si="16"/>
        <v>250005</v>
      </c>
      <c r="B958" s="8" t="str">
        <f>"2561401013413"</f>
        <v>2561401013413</v>
      </c>
      <c r="C958" s="8" t="s">
        <v>7</v>
      </c>
      <c r="D958" s="9">
        <v>60.03</v>
      </c>
      <c r="E958" s="8">
        <v>55</v>
      </c>
    </row>
    <row r="959" s="3" customFormat="1" ht="18.75" spans="1:5">
      <c r="A959" s="8" t="str">
        <f t="shared" si="16"/>
        <v>250005</v>
      </c>
      <c r="B959" s="8" t="str">
        <f>"2561401013523"</f>
        <v>2561401013523</v>
      </c>
      <c r="C959" s="8" t="s">
        <v>7</v>
      </c>
      <c r="D959" s="9">
        <v>59.94</v>
      </c>
      <c r="E959" s="8">
        <v>57</v>
      </c>
    </row>
    <row r="960" s="3" customFormat="1" ht="18.75" spans="1:5">
      <c r="A960" s="8" t="str">
        <f t="shared" si="16"/>
        <v>250005</v>
      </c>
      <c r="B960" s="8" t="str">
        <f>"2561401013610"</f>
        <v>2561401013610</v>
      </c>
      <c r="C960" s="8" t="s">
        <v>7</v>
      </c>
      <c r="D960" s="9">
        <v>59.89</v>
      </c>
      <c r="E960" s="8">
        <v>58</v>
      </c>
    </row>
    <row r="961" s="3" customFormat="1" ht="18.75" spans="1:5">
      <c r="A961" s="8" t="str">
        <f t="shared" si="16"/>
        <v>250005</v>
      </c>
      <c r="B961" s="8" t="str">
        <f>"2561401013309"</f>
        <v>2561401013309</v>
      </c>
      <c r="C961" s="8" t="s">
        <v>7</v>
      </c>
      <c r="D961" s="9">
        <v>59.53</v>
      </c>
      <c r="E961" s="8">
        <v>59</v>
      </c>
    </row>
    <row r="962" s="3" customFormat="1" ht="18.75" spans="1:5">
      <c r="A962" s="8" t="str">
        <f t="shared" si="16"/>
        <v>250005</v>
      </c>
      <c r="B962" s="8" t="str">
        <f>"2561401013516"</f>
        <v>2561401013516</v>
      </c>
      <c r="C962" s="8" t="s">
        <v>7</v>
      </c>
      <c r="D962" s="9">
        <v>59.4</v>
      </c>
      <c r="E962" s="8">
        <v>60</v>
      </c>
    </row>
    <row r="963" s="3" customFormat="1" ht="18.75" spans="1:5">
      <c r="A963" s="8" t="str">
        <f t="shared" si="16"/>
        <v>250005</v>
      </c>
      <c r="B963" s="8" t="str">
        <f>"2561401013819"</f>
        <v>2561401013819</v>
      </c>
      <c r="C963" s="8" t="s">
        <v>7</v>
      </c>
      <c r="D963" s="9">
        <v>59.37</v>
      </c>
      <c r="E963" s="8">
        <v>61</v>
      </c>
    </row>
    <row r="964" s="3" customFormat="1" ht="18.75" spans="1:5">
      <c r="A964" s="8" t="str">
        <f t="shared" si="16"/>
        <v>250005</v>
      </c>
      <c r="B964" s="8" t="str">
        <f>"2561401013826"</f>
        <v>2561401013826</v>
      </c>
      <c r="C964" s="8" t="s">
        <v>7</v>
      </c>
      <c r="D964" s="9">
        <v>59.35</v>
      </c>
      <c r="E964" s="8">
        <v>62</v>
      </c>
    </row>
    <row r="965" s="3" customFormat="1" ht="18.75" spans="1:5">
      <c r="A965" s="8" t="str">
        <f t="shared" si="16"/>
        <v>250005</v>
      </c>
      <c r="B965" s="8" t="str">
        <f>"2561401013802"</f>
        <v>2561401013802</v>
      </c>
      <c r="C965" s="8" t="s">
        <v>7</v>
      </c>
      <c r="D965" s="9">
        <v>59.3</v>
      </c>
      <c r="E965" s="8">
        <v>63</v>
      </c>
    </row>
    <row r="966" s="3" customFormat="1" ht="18.75" spans="1:5">
      <c r="A966" s="8" t="str">
        <f t="shared" si="16"/>
        <v>250005</v>
      </c>
      <c r="B966" s="8" t="str">
        <f>"2561401013324"</f>
        <v>2561401013324</v>
      </c>
      <c r="C966" s="8" t="s">
        <v>7</v>
      </c>
      <c r="D966" s="9">
        <v>59.16</v>
      </c>
      <c r="E966" s="8">
        <v>64</v>
      </c>
    </row>
    <row r="967" s="3" customFormat="1" ht="18.75" spans="1:5">
      <c r="A967" s="8" t="str">
        <f t="shared" ref="A967:A1030" si="17">"250005"</f>
        <v>250005</v>
      </c>
      <c r="B967" s="8" t="str">
        <f>"2561401013518"</f>
        <v>2561401013518</v>
      </c>
      <c r="C967" s="8" t="s">
        <v>7</v>
      </c>
      <c r="D967" s="9">
        <v>59.11</v>
      </c>
      <c r="E967" s="8">
        <v>65</v>
      </c>
    </row>
    <row r="968" s="3" customFormat="1" ht="18.75" spans="1:5">
      <c r="A968" s="8" t="str">
        <f t="shared" si="17"/>
        <v>250005</v>
      </c>
      <c r="B968" s="8" t="str">
        <f>"2561401013709"</f>
        <v>2561401013709</v>
      </c>
      <c r="C968" s="8" t="s">
        <v>7</v>
      </c>
      <c r="D968" s="9">
        <v>59.01</v>
      </c>
      <c r="E968" s="8">
        <v>66</v>
      </c>
    </row>
    <row r="969" s="3" customFormat="1" ht="18.75" spans="1:5">
      <c r="A969" s="8" t="str">
        <f t="shared" si="17"/>
        <v>250005</v>
      </c>
      <c r="B969" s="8" t="str">
        <f>"2561401013427"</f>
        <v>2561401013427</v>
      </c>
      <c r="C969" s="8" t="s">
        <v>7</v>
      </c>
      <c r="D969" s="9">
        <v>58.98</v>
      </c>
      <c r="E969" s="8">
        <v>67</v>
      </c>
    </row>
    <row r="970" s="3" customFormat="1" ht="18.75" spans="1:5">
      <c r="A970" s="8" t="str">
        <f t="shared" si="17"/>
        <v>250005</v>
      </c>
      <c r="B970" s="8" t="str">
        <f>"2561401013226"</f>
        <v>2561401013226</v>
      </c>
      <c r="C970" s="8" t="s">
        <v>7</v>
      </c>
      <c r="D970" s="9">
        <v>58.9</v>
      </c>
      <c r="E970" s="8">
        <v>68</v>
      </c>
    </row>
    <row r="971" s="3" customFormat="1" ht="18.75" spans="1:5">
      <c r="A971" s="8" t="str">
        <f t="shared" si="17"/>
        <v>250005</v>
      </c>
      <c r="B971" s="8" t="str">
        <f>"2561401013210"</f>
        <v>2561401013210</v>
      </c>
      <c r="C971" s="8" t="s">
        <v>7</v>
      </c>
      <c r="D971" s="9">
        <v>58.86</v>
      </c>
      <c r="E971" s="8">
        <v>69</v>
      </c>
    </row>
    <row r="972" s="3" customFormat="1" ht="18.75" spans="1:5">
      <c r="A972" s="8" t="str">
        <f t="shared" si="17"/>
        <v>250005</v>
      </c>
      <c r="B972" s="8" t="str">
        <f>"2561401013813"</f>
        <v>2561401013813</v>
      </c>
      <c r="C972" s="8" t="s">
        <v>7</v>
      </c>
      <c r="D972" s="9">
        <v>58.74</v>
      </c>
      <c r="E972" s="8">
        <v>70</v>
      </c>
    </row>
    <row r="973" s="3" customFormat="1" ht="18.75" spans="1:5">
      <c r="A973" s="8" t="str">
        <f t="shared" si="17"/>
        <v>250005</v>
      </c>
      <c r="B973" s="8" t="str">
        <f>"2561401013102"</f>
        <v>2561401013102</v>
      </c>
      <c r="C973" s="8" t="s">
        <v>7</v>
      </c>
      <c r="D973" s="9">
        <v>58.72</v>
      </c>
      <c r="E973" s="8">
        <v>71</v>
      </c>
    </row>
    <row r="974" s="3" customFormat="1" ht="18.75" spans="1:5">
      <c r="A974" s="8" t="str">
        <f t="shared" si="17"/>
        <v>250005</v>
      </c>
      <c r="B974" s="8" t="str">
        <f>"2561401013520"</f>
        <v>2561401013520</v>
      </c>
      <c r="C974" s="8" t="s">
        <v>7</v>
      </c>
      <c r="D974" s="9">
        <v>58.72</v>
      </c>
      <c r="E974" s="8">
        <v>71</v>
      </c>
    </row>
    <row r="975" s="3" customFormat="1" ht="18.75" spans="1:5">
      <c r="A975" s="8" t="str">
        <f t="shared" si="17"/>
        <v>250005</v>
      </c>
      <c r="B975" s="8" t="str">
        <f>"2561401013609"</f>
        <v>2561401013609</v>
      </c>
      <c r="C975" s="8" t="s">
        <v>7</v>
      </c>
      <c r="D975" s="9">
        <v>58.72</v>
      </c>
      <c r="E975" s="8">
        <v>71</v>
      </c>
    </row>
    <row r="976" s="3" customFormat="1" ht="18.75" spans="1:5">
      <c r="A976" s="8" t="str">
        <f t="shared" si="17"/>
        <v>250005</v>
      </c>
      <c r="B976" s="8" t="str">
        <f>"2561401013510"</f>
        <v>2561401013510</v>
      </c>
      <c r="C976" s="8" t="s">
        <v>7</v>
      </c>
      <c r="D976" s="9">
        <v>58.57</v>
      </c>
      <c r="E976" s="8">
        <v>74</v>
      </c>
    </row>
    <row r="977" s="3" customFormat="1" ht="18.75" spans="1:5">
      <c r="A977" s="8" t="str">
        <f t="shared" si="17"/>
        <v>250005</v>
      </c>
      <c r="B977" s="8" t="str">
        <f>"2561401013113"</f>
        <v>2561401013113</v>
      </c>
      <c r="C977" s="8" t="s">
        <v>7</v>
      </c>
      <c r="D977" s="9">
        <v>58.55</v>
      </c>
      <c r="E977" s="8">
        <v>75</v>
      </c>
    </row>
    <row r="978" s="3" customFormat="1" ht="18.75" spans="1:5">
      <c r="A978" s="8" t="str">
        <f t="shared" si="17"/>
        <v>250005</v>
      </c>
      <c r="B978" s="8" t="str">
        <f>"2561401013306"</f>
        <v>2561401013306</v>
      </c>
      <c r="C978" s="8" t="s">
        <v>7</v>
      </c>
      <c r="D978" s="9">
        <v>58.42</v>
      </c>
      <c r="E978" s="8">
        <v>76</v>
      </c>
    </row>
    <row r="979" s="3" customFormat="1" ht="18.75" spans="1:5">
      <c r="A979" s="8" t="str">
        <f t="shared" si="17"/>
        <v>250005</v>
      </c>
      <c r="B979" s="8" t="str">
        <f>"2561401013411"</f>
        <v>2561401013411</v>
      </c>
      <c r="C979" s="8" t="s">
        <v>7</v>
      </c>
      <c r="D979" s="9">
        <v>58.38</v>
      </c>
      <c r="E979" s="8">
        <v>77</v>
      </c>
    </row>
    <row r="980" s="3" customFormat="1" ht="18.75" spans="1:5">
      <c r="A980" s="8" t="str">
        <f t="shared" si="17"/>
        <v>250005</v>
      </c>
      <c r="B980" s="8" t="str">
        <f>"2561401013926"</f>
        <v>2561401013926</v>
      </c>
      <c r="C980" s="8" t="s">
        <v>7</v>
      </c>
      <c r="D980" s="9">
        <v>58.3</v>
      </c>
      <c r="E980" s="8">
        <v>78</v>
      </c>
    </row>
    <row r="981" s="3" customFormat="1" ht="18.75" spans="1:5">
      <c r="A981" s="8" t="str">
        <f t="shared" si="17"/>
        <v>250005</v>
      </c>
      <c r="B981" s="8" t="str">
        <f>"2561401013820"</f>
        <v>2561401013820</v>
      </c>
      <c r="C981" s="8" t="s">
        <v>7</v>
      </c>
      <c r="D981" s="9">
        <v>58.29</v>
      </c>
      <c r="E981" s="8">
        <v>79</v>
      </c>
    </row>
    <row r="982" s="3" customFormat="1" ht="18.75" spans="1:5">
      <c r="A982" s="8" t="str">
        <f t="shared" si="17"/>
        <v>250005</v>
      </c>
      <c r="B982" s="8" t="str">
        <f>"2561401013225"</f>
        <v>2561401013225</v>
      </c>
      <c r="C982" s="8" t="s">
        <v>7</v>
      </c>
      <c r="D982" s="9">
        <v>58.24</v>
      </c>
      <c r="E982" s="8">
        <v>80</v>
      </c>
    </row>
    <row r="983" s="3" customFormat="1" ht="18.75" spans="1:5">
      <c r="A983" s="8" t="str">
        <f t="shared" si="17"/>
        <v>250005</v>
      </c>
      <c r="B983" s="8" t="str">
        <f>"2561401013228"</f>
        <v>2561401013228</v>
      </c>
      <c r="C983" s="8" t="s">
        <v>7</v>
      </c>
      <c r="D983" s="9">
        <v>58.22</v>
      </c>
      <c r="E983" s="8">
        <v>81</v>
      </c>
    </row>
    <row r="984" s="3" customFormat="1" ht="18.75" spans="1:5">
      <c r="A984" s="8" t="str">
        <f t="shared" si="17"/>
        <v>250005</v>
      </c>
      <c r="B984" s="8" t="str">
        <f>"2561401013130"</f>
        <v>2561401013130</v>
      </c>
      <c r="C984" s="8" t="s">
        <v>7</v>
      </c>
      <c r="D984" s="9">
        <v>58.09</v>
      </c>
      <c r="E984" s="8">
        <v>82</v>
      </c>
    </row>
    <row r="985" s="3" customFormat="1" ht="18.75" spans="1:5">
      <c r="A985" s="8" t="str">
        <f t="shared" si="17"/>
        <v>250005</v>
      </c>
      <c r="B985" s="8" t="str">
        <f>"2561401013323"</f>
        <v>2561401013323</v>
      </c>
      <c r="C985" s="8" t="s">
        <v>7</v>
      </c>
      <c r="D985" s="9">
        <v>58.06</v>
      </c>
      <c r="E985" s="8">
        <v>83</v>
      </c>
    </row>
    <row r="986" s="3" customFormat="1" ht="18.75" spans="1:5">
      <c r="A986" s="8" t="str">
        <f t="shared" si="17"/>
        <v>250005</v>
      </c>
      <c r="B986" s="8" t="str">
        <f>"2561401013730"</f>
        <v>2561401013730</v>
      </c>
      <c r="C986" s="8" t="s">
        <v>7</v>
      </c>
      <c r="D986" s="9">
        <v>57.84</v>
      </c>
      <c r="E986" s="8">
        <v>84</v>
      </c>
    </row>
    <row r="987" s="3" customFormat="1" ht="18.75" spans="1:5">
      <c r="A987" s="8" t="str">
        <f t="shared" si="17"/>
        <v>250005</v>
      </c>
      <c r="B987" s="8" t="str">
        <f>"2561401013613"</f>
        <v>2561401013613</v>
      </c>
      <c r="C987" s="8" t="s">
        <v>7</v>
      </c>
      <c r="D987" s="9">
        <v>57.71</v>
      </c>
      <c r="E987" s="8">
        <v>85</v>
      </c>
    </row>
    <row r="988" s="3" customFormat="1" ht="18.75" spans="1:5">
      <c r="A988" s="8" t="str">
        <f t="shared" si="17"/>
        <v>250005</v>
      </c>
      <c r="B988" s="8" t="str">
        <f>"2561401013930"</f>
        <v>2561401013930</v>
      </c>
      <c r="C988" s="8" t="s">
        <v>7</v>
      </c>
      <c r="D988" s="9">
        <v>57.67</v>
      </c>
      <c r="E988" s="8">
        <v>86</v>
      </c>
    </row>
    <row r="989" s="3" customFormat="1" ht="18.75" spans="1:5">
      <c r="A989" s="8" t="str">
        <f t="shared" si="17"/>
        <v>250005</v>
      </c>
      <c r="B989" s="8" t="str">
        <f>"2561401013217"</f>
        <v>2561401013217</v>
      </c>
      <c r="C989" s="8" t="s">
        <v>7</v>
      </c>
      <c r="D989" s="9">
        <v>57.64</v>
      </c>
      <c r="E989" s="8">
        <v>87</v>
      </c>
    </row>
    <row r="990" s="3" customFormat="1" ht="18.75" spans="1:5">
      <c r="A990" s="8" t="str">
        <f t="shared" si="17"/>
        <v>250005</v>
      </c>
      <c r="B990" s="8" t="str">
        <f>"2561401013329"</f>
        <v>2561401013329</v>
      </c>
      <c r="C990" s="8" t="s">
        <v>7</v>
      </c>
      <c r="D990" s="9">
        <v>57.58</v>
      </c>
      <c r="E990" s="8">
        <v>88</v>
      </c>
    </row>
    <row r="991" s="3" customFormat="1" ht="18.75" spans="1:5">
      <c r="A991" s="8" t="str">
        <f t="shared" si="17"/>
        <v>250005</v>
      </c>
      <c r="B991" s="8" t="str">
        <f>"2561401013218"</f>
        <v>2561401013218</v>
      </c>
      <c r="C991" s="8" t="s">
        <v>7</v>
      </c>
      <c r="D991" s="9">
        <v>57.5</v>
      </c>
      <c r="E991" s="8">
        <v>89</v>
      </c>
    </row>
    <row r="992" s="3" customFormat="1" ht="18.75" spans="1:5">
      <c r="A992" s="8" t="str">
        <f t="shared" si="17"/>
        <v>250005</v>
      </c>
      <c r="B992" s="8" t="str">
        <f>"2561401013406"</f>
        <v>2561401013406</v>
      </c>
      <c r="C992" s="8" t="s">
        <v>7</v>
      </c>
      <c r="D992" s="9">
        <v>57.5</v>
      </c>
      <c r="E992" s="8">
        <v>89</v>
      </c>
    </row>
    <row r="993" s="3" customFormat="1" ht="18.75" spans="1:5">
      <c r="A993" s="8" t="str">
        <f t="shared" si="17"/>
        <v>250005</v>
      </c>
      <c r="B993" s="8" t="str">
        <f>"2561401013822"</f>
        <v>2561401013822</v>
      </c>
      <c r="C993" s="8" t="s">
        <v>7</v>
      </c>
      <c r="D993" s="9">
        <v>57.47</v>
      </c>
      <c r="E993" s="8">
        <v>91</v>
      </c>
    </row>
    <row r="994" s="3" customFormat="1" ht="18.75" spans="1:5">
      <c r="A994" s="8" t="str">
        <f t="shared" si="17"/>
        <v>250005</v>
      </c>
      <c r="B994" s="8" t="str">
        <f>"2561401013806"</f>
        <v>2561401013806</v>
      </c>
      <c r="C994" s="8" t="s">
        <v>7</v>
      </c>
      <c r="D994" s="9">
        <v>57.39</v>
      </c>
      <c r="E994" s="8">
        <v>92</v>
      </c>
    </row>
    <row r="995" s="3" customFormat="1" ht="18.75" spans="1:5">
      <c r="A995" s="8" t="str">
        <f t="shared" si="17"/>
        <v>250005</v>
      </c>
      <c r="B995" s="8" t="str">
        <f>"2561401013204"</f>
        <v>2561401013204</v>
      </c>
      <c r="C995" s="8" t="s">
        <v>7</v>
      </c>
      <c r="D995" s="9">
        <v>57.38</v>
      </c>
      <c r="E995" s="8">
        <v>93</v>
      </c>
    </row>
    <row r="996" s="3" customFormat="1" ht="18.75" spans="1:5">
      <c r="A996" s="8" t="str">
        <f t="shared" si="17"/>
        <v>250005</v>
      </c>
      <c r="B996" s="8" t="str">
        <f>"2561401013901"</f>
        <v>2561401013901</v>
      </c>
      <c r="C996" s="8" t="s">
        <v>7</v>
      </c>
      <c r="D996" s="9">
        <v>57.33</v>
      </c>
      <c r="E996" s="8">
        <v>94</v>
      </c>
    </row>
    <row r="997" s="3" customFormat="1" ht="18.75" spans="1:5">
      <c r="A997" s="8" t="str">
        <f t="shared" si="17"/>
        <v>250005</v>
      </c>
      <c r="B997" s="8" t="str">
        <f>"2561401014006"</f>
        <v>2561401014006</v>
      </c>
      <c r="C997" s="8" t="s">
        <v>7</v>
      </c>
      <c r="D997" s="9">
        <v>57.11</v>
      </c>
      <c r="E997" s="8">
        <v>95</v>
      </c>
    </row>
    <row r="998" s="3" customFormat="1" ht="18.75" spans="1:5">
      <c r="A998" s="8" t="str">
        <f t="shared" si="17"/>
        <v>250005</v>
      </c>
      <c r="B998" s="8" t="str">
        <f>"2561401013530"</f>
        <v>2561401013530</v>
      </c>
      <c r="C998" s="8" t="s">
        <v>7</v>
      </c>
      <c r="D998" s="9">
        <v>57.1</v>
      </c>
      <c r="E998" s="8">
        <v>96</v>
      </c>
    </row>
    <row r="999" s="3" customFormat="1" ht="18.75" spans="1:5">
      <c r="A999" s="8" t="str">
        <f t="shared" si="17"/>
        <v>250005</v>
      </c>
      <c r="B999" s="8" t="str">
        <f>"2561401013623"</f>
        <v>2561401013623</v>
      </c>
      <c r="C999" s="8" t="s">
        <v>7</v>
      </c>
      <c r="D999" s="9">
        <v>56.98</v>
      </c>
      <c r="E999" s="8">
        <v>97</v>
      </c>
    </row>
    <row r="1000" s="3" customFormat="1" ht="18.75" spans="1:5">
      <c r="A1000" s="8" t="str">
        <f t="shared" si="17"/>
        <v>250005</v>
      </c>
      <c r="B1000" s="8" t="str">
        <f>"2561401013123"</f>
        <v>2561401013123</v>
      </c>
      <c r="C1000" s="8" t="s">
        <v>7</v>
      </c>
      <c r="D1000" s="9">
        <v>56.84</v>
      </c>
      <c r="E1000" s="8">
        <v>98</v>
      </c>
    </row>
    <row r="1001" s="3" customFormat="1" ht="18.75" spans="1:5">
      <c r="A1001" s="8" t="str">
        <f t="shared" si="17"/>
        <v>250005</v>
      </c>
      <c r="B1001" s="8" t="str">
        <f>"2561401013627"</f>
        <v>2561401013627</v>
      </c>
      <c r="C1001" s="8" t="s">
        <v>7</v>
      </c>
      <c r="D1001" s="9">
        <v>56.75</v>
      </c>
      <c r="E1001" s="8">
        <v>99</v>
      </c>
    </row>
    <row r="1002" s="3" customFormat="1" ht="18.75" spans="1:5">
      <c r="A1002" s="8" t="str">
        <f t="shared" si="17"/>
        <v>250005</v>
      </c>
      <c r="B1002" s="8" t="str">
        <f>"2561401013311"</f>
        <v>2561401013311</v>
      </c>
      <c r="C1002" s="8" t="s">
        <v>7</v>
      </c>
      <c r="D1002" s="9">
        <v>56.65</v>
      </c>
      <c r="E1002" s="8">
        <v>100</v>
      </c>
    </row>
    <row r="1003" s="3" customFormat="1" ht="18.75" spans="1:5">
      <c r="A1003" s="8" t="str">
        <f t="shared" si="17"/>
        <v>250005</v>
      </c>
      <c r="B1003" s="8" t="str">
        <f>"2561401013618"</f>
        <v>2561401013618</v>
      </c>
      <c r="C1003" s="8" t="s">
        <v>7</v>
      </c>
      <c r="D1003" s="9">
        <v>56.65</v>
      </c>
      <c r="E1003" s="8">
        <v>100</v>
      </c>
    </row>
    <row r="1004" s="3" customFormat="1" ht="18.75" spans="1:5">
      <c r="A1004" s="8" t="str">
        <f t="shared" si="17"/>
        <v>250005</v>
      </c>
      <c r="B1004" s="8" t="str">
        <f>"2561401013712"</f>
        <v>2561401013712</v>
      </c>
      <c r="C1004" s="8" t="s">
        <v>7</v>
      </c>
      <c r="D1004" s="9">
        <v>56.41</v>
      </c>
      <c r="E1004" s="8">
        <v>102</v>
      </c>
    </row>
    <row r="1005" s="3" customFormat="1" ht="18.75" spans="1:5">
      <c r="A1005" s="8" t="str">
        <f t="shared" si="17"/>
        <v>250005</v>
      </c>
      <c r="B1005" s="8" t="str">
        <f>"2561401013603"</f>
        <v>2561401013603</v>
      </c>
      <c r="C1005" s="8" t="s">
        <v>7</v>
      </c>
      <c r="D1005" s="9">
        <v>56.34</v>
      </c>
      <c r="E1005" s="8">
        <v>103</v>
      </c>
    </row>
    <row r="1006" s="3" customFormat="1" ht="18.75" spans="1:5">
      <c r="A1006" s="8" t="str">
        <f t="shared" si="17"/>
        <v>250005</v>
      </c>
      <c r="B1006" s="8" t="str">
        <f>"2561401013304"</f>
        <v>2561401013304</v>
      </c>
      <c r="C1006" s="8" t="s">
        <v>7</v>
      </c>
      <c r="D1006" s="9">
        <v>56.31</v>
      </c>
      <c r="E1006" s="8">
        <v>104</v>
      </c>
    </row>
    <row r="1007" s="3" customFormat="1" ht="18.75" spans="1:5">
      <c r="A1007" s="8" t="str">
        <f t="shared" si="17"/>
        <v>250005</v>
      </c>
      <c r="B1007" s="8" t="str">
        <f>"2561401013118"</f>
        <v>2561401013118</v>
      </c>
      <c r="C1007" s="8" t="s">
        <v>7</v>
      </c>
      <c r="D1007" s="9">
        <v>56.27</v>
      </c>
      <c r="E1007" s="8">
        <v>105</v>
      </c>
    </row>
    <row r="1008" s="3" customFormat="1" ht="18.75" spans="1:5">
      <c r="A1008" s="8" t="str">
        <f t="shared" si="17"/>
        <v>250005</v>
      </c>
      <c r="B1008" s="8" t="str">
        <f>"2561401013701"</f>
        <v>2561401013701</v>
      </c>
      <c r="C1008" s="8" t="s">
        <v>7</v>
      </c>
      <c r="D1008" s="9">
        <v>56.2</v>
      </c>
      <c r="E1008" s="8">
        <v>106</v>
      </c>
    </row>
    <row r="1009" s="3" customFormat="1" ht="18.75" spans="1:5">
      <c r="A1009" s="8" t="str">
        <f t="shared" si="17"/>
        <v>250005</v>
      </c>
      <c r="B1009" s="8" t="str">
        <f>"2561401013811"</f>
        <v>2561401013811</v>
      </c>
      <c r="C1009" s="8" t="s">
        <v>7</v>
      </c>
      <c r="D1009" s="9">
        <v>56.04</v>
      </c>
      <c r="E1009" s="8">
        <v>107</v>
      </c>
    </row>
    <row r="1010" s="3" customFormat="1" ht="18.75" spans="1:5">
      <c r="A1010" s="8" t="str">
        <f t="shared" si="17"/>
        <v>250005</v>
      </c>
      <c r="B1010" s="8" t="str">
        <f>"2561401013525"</f>
        <v>2561401013525</v>
      </c>
      <c r="C1010" s="8" t="s">
        <v>7</v>
      </c>
      <c r="D1010" s="9">
        <v>55.99</v>
      </c>
      <c r="E1010" s="8">
        <v>108</v>
      </c>
    </row>
    <row r="1011" s="3" customFormat="1" ht="18.75" spans="1:5">
      <c r="A1011" s="8" t="str">
        <f t="shared" si="17"/>
        <v>250005</v>
      </c>
      <c r="B1011" s="8" t="str">
        <f>"2561401013519"</f>
        <v>2561401013519</v>
      </c>
      <c r="C1011" s="8" t="s">
        <v>7</v>
      </c>
      <c r="D1011" s="9">
        <v>55.91</v>
      </c>
      <c r="E1011" s="8">
        <v>109</v>
      </c>
    </row>
    <row r="1012" s="3" customFormat="1" ht="18.75" spans="1:5">
      <c r="A1012" s="8" t="str">
        <f t="shared" si="17"/>
        <v>250005</v>
      </c>
      <c r="B1012" s="8" t="str">
        <f>"2561401013916"</f>
        <v>2561401013916</v>
      </c>
      <c r="C1012" s="8" t="s">
        <v>7</v>
      </c>
      <c r="D1012" s="9">
        <v>55.84</v>
      </c>
      <c r="E1012" s="8">
        <v>110</v>
      </c>
    </row>
    <row r="1013" s="3" customFormat="1" ht="18.75" spans="1:5">
      <c r="A1013" s="8" t="str">
        <f t="shared" si="17"/>
        <v>250005</v>
      </c>
      <c r="B1013" s="8" t="str">
        <f>"2561401013805"</f>
        <v>2561401013805</v>
      </c>
      <c r="C1013" s="8" t="s">
        <v>7</v>
      </c>
      <c r="D1013" s="9">
        <v>55.82</v>
      </c>
      <c r="E1013" s="8">
        <v>111</v>
      </c>
    </row>
    <row r="1014" s="3" customFormat="1" ht="18.75" spans="1:5">
      <c r="A1014" s="8" t="str">
        <f t="shared" si="17"/>
        <v>250005</v>
      </c>
      <c r="B1014" s="8" t="str">
        <f>"2561401013429"</f>
        <v>2561401013429</v>
      </c>
      <c r="C1014" s="8" t="s">
        <v>7</v>
      </c>
      <c r="D1014" s="9">
        <v>55.79</v>
      </c>
      <c r="E1014" s="8">
        <v>112</v>
      </c>
    </row>
    <row r="1015" s="3" customFormat="1" ht="18.75" spans="1:5">
      <c r="A1015" s="8" t="str">
        <f t="shared" si="17"/>
        <v>250005</v>
      </c>
      <c r="B1015" s="8" t="str">
        <f>"2561401013621"</f>
        <v>2561401013621</v>
      </c>
      <c r="C1015" s="8" t="s">
        <v>7</v>
      </c>
      <c r="D1015" s="9">
        <v>55.77</v>
      </c>
      <c r="E1015" s="8">
        <v>113</v>
      </c>
    </row>
    <row r="1016" s="3" customFormat="1" ht="18.75" spans="1:5">
      <c r="A1016" s="8" t="str">
        <f t="shared" si="17"/>
        <v>250005</v>
      </c>
      <c r="B1016" s="8" t="str">
        <f>"2561401013401"</f>
        <v>2561401013401</v>
      </c>
      <c r="C1016" s="8" t="s">
        <v>7</v>
      </c>
      <c r="D1016" s="9">
        <v>55.76</v>
      </c>
      <c r="E1016" s="8">
        <v>114</v>
      </c>
    </row>
    <row r="1017" s="3" customFormat="1" ht="18.75" spans="1:5">
      <c r="A1017" s="8" t="str">
        <f t="shared" si="17"/>
        <v>250005</v>
      </c>
      <c r="B1017" s="8" t="str">
        <f>"2561401013419"</f>
        <v>2561401013419</v>
      </c>
      <c r="C1017" s="8" t="s">
        <v>7</v>
      </c>
      <c r="D1017" s="9">
        <v>55.67</v>
      </c>
      <c r="E1017" s="8">
        <v>115</v>
      </c>
    </row>
    <row r="1018" s="3" customFormat="1" ht="18.75" spans="1:5">
      <c r="A1018" s="8" t="str">
        <f t="shared" si="17"/>
        <v>250005</v>
      </c>
      <c r="B1018" s="8" t="str">
        <f>"2561401013213"</f>
        <v>2561401013213</v>
      </c>
      <c r="C1018" s="8" t="s">
        <v>7</v>
      </c>
      <c r="D1018" s="9">
        <v>55.45</v>
      </c>
      <c r="E1018" s="8">
        <v>116</v>
      </c>
    </row>
    <row r="1019" s="3" customFormat="1" ht="18.75" spans="1:5">
      <c r="A1019" s="8" t="str">
        <f t="shared" si="17"/>
        <v>250005</v>
      </c>
      <c r="B1019" s="8" t="str">
        <f>"2561401013202"</f>
        <v>2561401013202</v>
      </c>
      <c r="C1019" s="8" t="s">
        <v>7</v>
      </c>
      <c r="D1019" s="9">
        <v>55.41</v>
      </c>
      <c r="E1019" s="8">
        <v>117</v>
      </c>
    </row>
    <row r="1020" s="3" customFormat="1" ht="18.75" spans="1:5">
      <c r="A1020" s="8" t="str">
        <f t="shared" si="17"/>
        <v>250005</v>
      </c>
      <c r="B1020" s="8" t="str">
        <f>"2561401013328"</f>
        <v>2561401013328</v>
      </c>
      <c r="C1020" s="8" t="s">
        <v>7</v>
      </c>
      <c r="D1020" s="9">
        <v>55.39</v>
      </c>
      <c r="E1020" s="8">
        <v>118</v>
      </c>
    </row>
    <row r="1021" s="3" customFormat="1" ht="18.75" spans="1:5">
      <c r="A1021" s="8" t="str">
        <f t="shared" si="17"/>
        <v>250005</v>
      </c>
      <c r="B1021" s="8" t="str">
        <f>"2561401013703"</f>
        <v>2561401013703</v>
      </c>
      <c r="C1021" s="8" t="s">
        <v>7</v>
      </c>
      <c r="D1021" s="9">
        <v>55.37</v>
      </c>
      <c r="E1021" s="8">
        <v>119</v>
      </c>
    </row>
    <row r="1022" s="3" customFormat="1" ht="18.75" spans="1:5">
      <c r="A1022" s="8" t="str">
        <f t="shared" si="17"/>
        <v>250005</v>
      </c>
      <c r="B1022" s="8" t="str">
        <f>"2561401013409"</f>
        <v>2561401013409</v>
      </c>
      <c r="C1022" s="8" t="s">
        <v>7</v>
      </c>
      <c r="D1022" s="9">
        <v>55.31</v>
      </c>
      <c r="E1022" s="8">
        <v>120</v>
      </c>
    </row>
    <row r="1023" s="3" customFormat="1" ht="18.75" spans="1:5">
      <c r="A1023" s="8" t="str">
        <f t="shared" si="17"/>
        <v>250005</v>
      </c>
      <c r="B1023" s="8" t="str">
        <f>"2561401013809"</f>
        <v>2561401013809</v>
      </c>
      <c r="C1023" s="8" t="s">
        <v>7</v>
      </c>
      <c r="D1023" s="9">
        <v>55.22</v>
      </c>
      <c r="E1023" s="8">
        <v>121</v>
      </c>
    </row>
    <row r="1024" s="3" customFormat="1" ht="18.75" spans="1:5">
      <c r="A1024" s="8" t="str">
        <f t="shared" si="17"/>
        <v>250005</v>
      </c>
      <c r="B1024" s="8" t="str">
        <f>"2561401013704"</f>
        <v>2561401013704</v>
      </c>
      <c r="C1024" s="8" t="s">
        <v>7</v>
      </c>
      <c r="D1024" s="9">
        <v>55.05</v>
      </c>
      <c r="E1024" s="8">
        <v>122</v>
      </c>
    </row>
    <row r="1025" s="3" customFormat="1" ht="18.75" spans="1:5">
      <c r="A1025" s="8" t="str">
        <f t="shared" si="17"/>
        <v>250005</v>
      </c>
      <c r="B1025" s="8" t="str">
        <f>"2561401013417"</f>
        <v>2561401013417</v>
      </c>
      <c r="C1025" s="8" t="s">
        <v>7</v>
      </c>
      <c r="D1025" s="9">
        <v>55.02</v>
      </c>
      <c r="E1025" s="8">
        <v>123</v>
      </c>
    </row>
    <row r="1026" s="3" customFormat="1" ht="18.75" spans="1:5">
      <c r="A1026" s="8" t="str">
        <f t="shared" si="17"/>
        <v>250005</v>
      </c>
      <c r="B1026" s="8" t="str">
        <f>"2561401013717"</f>
        <v>2561401013717</v>
      </c>
      <c r="C1026" s="8" t="s">
        <v>7</v>
      </c>
      <c r="D1026" s="9">
        <v>55.02</v>
      </c>
      <c r="E1026" s="8">
        <v>123</v>
      </c>
    </row>
    <row r="1027" s="3" customFormat="1" ht="18.75" spans="1:5">
      <c r="A1027" s="8" t="str">
        <f t="shared" si="17"/>
        <v>250005</v>
      </c>
      <c r="B1027" s="8" t="str">
        <f>"2561401013227"</f>
        <v>2561401013227</v>
      </c>
      <c r="C1027" s="8" t="s">
        <v>7</v>
      </c>
      <c r="D1027" s="9">
        <v>55</v>
      </c>
      <c r="E1027" s="8">
        <v>125</v>
      </c>
    </row>
    <row r="1028" s="3" customFormat="1" ht="18.75" spans="1:5">
      <c r="A1028" s="8" t="str">
        <f t="shared" si="17"/>
        <v>250005</v>
      </c>
      <c r="B1028" s="8" t="str">
        <f>"2561401013315"</f>
        <v>2561401013315</v>
      </c>
      <c r="C1028" s="8" t="s">
        <v>7</v>
      </c>
      <c r="D1028" s="9">
        <v>54.94</v>
      </c>
      <c r="E1028" s="8">
        <v>126</v>
      </c>
    </row>
    <row r="1029" s="3" customFormat="1" ht="18.75" spans="1:5">
      <c r="A1029" s="8" t="str">
        <f t="shared" si="17"/>
        <v>250005</v>
      </c>
      <c r="B1029" s="8" t="str">
        <f>"2561401013728"</f>
        <v>2561401013728</v>
      </c>
      <c r="C1029" s="8" t="s">
        <v>7</v>
      </c>
      <c r="D1029" s="9">
        <v>54.87</v>
      </c>
      <c r="E1029" s="8">
        <v>127</v>
      </c>
    </row>
    <row r="1030" s="3" customFormat="1" ht="18.75" spans="1:5">
      <c r="A1030" s="8" t="str">
        <f t="shared" si="17"/>
        <v>250005</v>
      </c>
      <c r="B1030" s="8" t="str">
        <f>"2561401013716"</f>
        <v>2561401013716</v>
      </c>
      <c r="C1030" s="8" t="s">
        <v>7</v>
      </c>
      <c r="D1030" s="9">
        <v>54.84</v>
      </c>
      <c r="E1030" s="8">
        <v>128</v>
      </c>
    </row>
    <row r="1031" s="3" customFormat="1" ht="18.75" spans="1:5">
      <c r="A1031" s="8" t="str">
        <f t="shared" ref="A1031:A1094" si="18">"250005"</f>
        <v>250005</v>
      </c>
      <c r="B1031" s="8" t="str">
        <f>"2561401013708"</f>
        <v>2561401013708</v>
      </c>
      <c r="C1031" s="8" t="s">
        <v>7</v>
      </c>
      <c r="D1031" s="9">
        <v>54.77</v>
      </c>
      <c r="E1031" s="8">
        <v>129</v>
      </c>
    </row>
    <row r="1032" s="3" customFormat="1" ht="18.75" spans="1:5">
      <c r="A1032" s="8" t="str">
        <f t="shared" si="18"/>
        <v>250005</v>
      </c>
      <c r="B1032" s="8" t="str">
        <f>"2561401013106"</f>
        <v>2561401013106</v>
      </c>
      <c r="C1032" s="8" t="s">
        <v>7</v>
      </c>
      <c r="D1032" s="9">
        <v>54.76</v>
      </c>
      <c r="E1032" s="8">
        <v>130</v>
      </c>
    </row>
    <row r="1033" s="3" customFormat="1" ht="18.75" spans="1:5">
      <c r="A1033" s="8" t="str">
        <f t="shared" si="18"/>
        <v>250005</v>
      </c>
      <c r="B1033" s="8" t="str">
        <f>"2561401013403"</f>
        <v>2561401013403</v>
      </c>
      <c r="C1033" s="8" t="s">
        <v>7</v>
      </c>
      <c r="D1033" s="9">
        <v>54.73</v>
      </c>
      <c r="E1033" s="8">
        <v>131</v>
      </c>
    </row>
    <row r="1034" s="3" customFormat="1" ht="18.75" spans="1:5">
      <c r="A1034" s="8" t="str">
        <f t="shared" si="18"/>
        <v>250005</v>
      </c>
      <c r="B1034" s="8" t="str">
        <f>"2561401013312"</f>
        <v>2561401013312</v>
      </c>
      <c r="C1034" s="8" t="s">
        <v>7</v>
      </c>
      <c r="D1034" s="9">
        <v>54.72</v>
      </c>
      <c r="E1034" s="8">
        <v>132</v>
      </c>
    </row>
    <row r="1035" s="3" customFormat="1" ht="18.75" spans="1:5">
      <c r="A1035" s="8" t="str">
        <f t="shared" si="18"/>
        <v>250005</v>
      </c>
      <c r="B1035" s="8" t="str">
        <f>"2561401014012"</f>
        <v>2561401014012</v>
      </c>
      <c r="C1035" s="8" t="s">
        <v>7</v>
      </c>
      <c r="D1035" s="9">
        <v>54.68</v>
      </c>
      <c r="E1035" s="8">
        <v>133</v>
      </c>
    </row>
    <row r="1036" s="3" customFormat="1" ht="18.75" spans="1:5">
      <c r="A1036" s="8" t="str">
        <f t="shared" si="18"/>
        <v>250005</v>
      </c>
      <c r="B1036" s="8" t="str">
        <f>"2561401013615"</f>
        <v>2561401013615</v>
      </c>
      <c r="C1036" s="8" t="s">
        <v>7</v>
      </c>
      <c r="D1036" s="9">
        <v>54.67</v>
      </c>
      <c r="E1036" s="8">
        <v>134</v>
      </c>
    </row>
    <row r="1037" s="3" customFormat="1" ht="18.75" spans="1:5">
      <c r="A1037" s="8" t="str">
        <f t="shared" si="18"/>
        <v>250005</v>
      </c>
      <c r="B1037" s="8" t="str">
        <f>"2561401013514"</f>
        <v>2561401013514</v>
      </c>
      <c r="C1037" s="8" t="s">
        <v>7</v>
      </c>
      <c r="D1037" s="9">
        <v>54.57</v>
      </c>
      <c r="E1037" s="8">
        <v>135</v>
      </c>
    </row>
    <row r="1038" s="3" customFormat="1" ht="18.75" spans="1:5">
      <c r="A1038" s="8" t="str">
        <f t="shared" si="18"/>
        <v>250005</v>
      </c>
      <c r="B1038" s="8" t="str">
        <f>"2561401013529"</f>
        <v>2561401013529</v>
      </c>
      <c r="C1038" s="8" t="s">
        <v>7</v>
      </c>
      <c r="D1038" s="9">
        <v>54.57</v>
      </c>
      <c r="E1038" s="8">
        <v>135</v>
      </c>
    </row>
    <row r="1039" s="3" customFormat="1" ht="18.75" spans="1:5">
      <c r="A1039" s="8" t="str">
        <f t="shared" si="18"/>
        <v>250005</v>
      </c>
      <c r="B1039" s="8" t="str">
        <f>"2561401013601"</f>
        <v>2561401013601</v>
      </c>
      <c r="C1039" s="8" t="s">
        <v>7</v>
      </c>
      <c r="D1039" s="9">
        <v>54.53</v>
      </c>
      <c r="E1039" s="8">
        <v>137</v>
      </c>
    </row>
    <row r="1040" s="3" customFormat="1" ht="18.75" spans="1:5">
      <c r="A1040" s="8" t="str">
        <f t="shared" si="18"/>
        <v>250005</v>
      </c>
      <c r="B1040" s="8" t="str">
        <f>"2561401013201"</f>
        <v>2561401013201</v>
      </c>
      <c r="C1040" s="8" t="s">
        <v>7</v>
      </c>
      <c r="D1040" s="9">
        <v>54.47</v>
      </c>
      <c r="E1040" s="8">
        <v>138</v>
      </c>
    </row>
    <row r="1041" s="3" customFormat="1" ht="18.75" spans="1:5">
      <c r="A1041" s="8" t="str">
        <f t="shared" si="18"/>
        <v>250005</v>
      </c>
      <c r="B1041" s="8" t="str">
        <f>"2561401013404"</f>
        <v>2561401013404</v>
      </c>
      <c r="C1041" s="8" t="s">
        <v>7</v>
      </c>
      <c r="D1041" s="9">
        <v>54.35</v>
      </c>
      <c r="E1041" s="8">
        <v>139</v>
      </c>
    </row>
    <row r="1042" s="3" customFormat="1" ht="18.75" spans="1:5">
      <c r="A1042" s="8" t="str">
        <f t="shared" si="18"/>
        <v>250005</v>
      </c>
      <c r="B1042" s="8" t="str">
        <f>"2561401013829"</f>
        <v>2561401013829</v>
      </c>
      <c r="C1042" s="8" t="s">
        <v>7</v>
      </c>
      <c r="D1042" s="9">
        <v>54.05</v>
      </c>
      <c r="E1042" s="8">
        <v>140</v>
      </c>
    </row>
    <row r="1043" s="3" customFormat="1" ht="18.75" spans="1:5">
      <c r="A1043" s="8" t="str">
        <f t="shared" si="18"/>
        <v>250005</v>
      </c>
      <c r="B1043" s="8" t="str">
        <f>"2561401013326"</f>
        <v>2561401013326</v>
      </c>
      <c r="C1043" s="8" t="s">
        <v>7</v>
      </c>
      <c r="D1043" s="9">
        <v>54.04</v>
      </c>
      <c r="E1043" s="8">
        <v>141</v>
      </c>
    </row>
    <row r="1044" s="3" customFormat="1" ht="18.75" spans="1:5">
      <c r="A1044" s="8" t="str">
        <f t="shared" si="18"/>
        <v>250005</v>
      </c>
      <c r="B1044" s="8" t="str">
        <f>"2561401013318"</f>
        <v>2561401013318</v>
      </c>
      <c r="C1044" s="8" t="s">
        <v>7</v>
      </c>
      <c r="D1044" s="9">
        <v>54.01</v>
      </c>
      <c r="E1044" s="8">
        <v>142</v>
      </c>
    </row>
    <row r="1045" s="3" customFormat="1" ht="18.75" spans="1:5">
      <c r="A1045" s="8" t="str">
        <f t="shared" si="18"/>
        <v>250005</v>
      </c>
      <c r="B1045" s="8" t="str">
        <f>"2561401013927"</f>
        <v>2561401013927</v>
      </c>
      <c r="C1045" s="8" t="s">
        <v>7</v>
      </c>
      <c r="D1045" s="9">
        <v>53.99</v>
      </c>
      <c r="E1045" s="8">
        <v>143</v>
      </c>
    </row>
    <row r="1046" s="3" customFormat="1" ht="18.75" spans="1:5">
      <c r="A1046" s="8" t="str">
        <f t="shared" si="18"/>
        <v>250005</v>
      </c>
      <c r="B1046" s="8" t="str">
        <f>"2561401013606"</f>
        <v>2561401013606</v>
      </c>
      <c r="C1046" s="8" t="s">
        <v>7</v>
      </c>
      <c r="D1046" s="9">
        <v>53.95</v>
      </c>
      <c r="E1046" s="8">
        <v>144</v>
      </c>
    </row>
    <row r="1047" s="3" customFormat="1" ht="18.75" spans="1:5">
      <c r="A1047" s="8" t="str">
        <f t="shared" si="18"/>
        <v>250005</v>
      </c>
      <c r="B1047" s="8" t="str">
        <f>"2561401013604"</f>
        <v>2561401013604</v>
      </c>
      <c r="C1047" s="8" t="s">
        <v>7</v>
      </c>
      <c r="D1047" s="9">
        <v>53.65</v>
      </c>
      <c r="E1047" s="8">
        <v>145</v>
      </c>
    </row>
    <row r="1048" s="3" customFormat="1" ht="18.75" spans="1:5">
      <c r="A1048" s="8" t="str">
        <f t="shared" si="18"/>
        <v>250005</v>
      </c>
      <c r="B1048" s="8" t="str">
        <f>"2561401013511"</f>
        <v>2561401013511</v>
      </c>
      <c r="C1048" s="8" t="s">
        <v>7</v>
      </c>
      <c r="D1048" s="9">
        <v>53.59</v>
      </c>
      <c r="E1048" s="8">
        <v>146</v>
      </c>
    </row>
    <row r="1049" s="3" customFormat="1" ht="18.75" spans="1:5">
      <c r="A1049" s="8" t="str">
        <f t="shared" si="18"/>
        <v>250005</v>
      </c>
      <c r="B1049" s="8" t="str">
        <f>"2561401014001"</f>
        <v>2561401014001</v>
      </c>
      <c r="C1049" s="8" t="s">
        <v>7</v>
      </c>
      <c r="D1049" s="9">
        <v>53.59</v>
      </c>
      <c r="E1049" s="8">
        <v>146</v>
      </c>
    </row>
    <row r="1050" s="3" customFormat="1" ht="18.75" spans="1:5">
      <c r="A1050" s="8" t="str">
        <f t="shared" si="18"/>
        <v>250005</v>
      </c>
      <c r="B1050" s="8" t="str">
        <f>"2561401013707"</f>
        <v>2561401013707</v>
      </c>
      <c r="C1050" s="8" t="s">
        <v>7</v>
      </c>
      <c r="D1050" s="9">
        <v>53.57</v>
      </c>
      <c r="E1050" s="8">
        <v>148</v>
      </c>
    </row>
    <row r="1051" s="3" customFormat="1" ht="18.75" spans="1:5">
      <c r="A1051" s="8" t="str">
        <f t="shared" si="18"/>
        <v>250005</v>
      </c>
      <c r="B1051" s="8" t="str">
        <f>"2561401013919"</f>
        <v>2561401013919</v>
      </c>
      <c r="C1051" s="8" t="s">
        <v>7</v>
      </c>
      <c r="D1051" s="9">
        <v>53.56</v>
      </c>
      <c r="E1051" s="8">
        <v>149</v>
      </c>
    </row>
    <row r="1052" s="3" customFormat="1" ht="18.75" spans="1:5">
      <c r="A1052" s="8" t="str">
        <f t="shared" si="18"/>
        <v>250005</v>
      </c>
      <c r="B1052" s="8" t="str">
        <f>"2561401013626"</f>
        <v>2561401013626</v>
      </c>
      <c r="C1052" s="8" t="s">
        <v>7</v>
      </c>
      <c r="D1052" s="9">
        <v>53.46</v>
      </c>
      <c r="E1052" s="8">
        <v>150</v>
      </c>
    </row>
    <row r="1053" s="3" customFormat="1" ht="18.75" spans="1:5">
      <c r="A1053" s="8" t="str">
        <f t="shared" si="18"/>
        <v>250005</v>
      </c>
      <c r="B1053" s="8" t="str">
        <f>"2561401013325"</f>
        <v>2561401013325</v>
      </c>
      <c r="C1053" s="8" t="s">
        <v>7</v>
      </c>
      <c r="D1053" s="9">
        <v>53.4</v>
      </c>
      <c r="E1053" s="8">
        <v>151</v>
      </c>
    </row>
    <row r="1054" s="3" customFormat="1" ht="18.75" spans="1:5">
      <c r="A1054" s="8" t="str">
        <f t="shared" si="18"/>
        <v>250005</v>
      </c>
      <c r="B1054" s="8" t="str">
        <f>"2561401014013"</f>
        <v>2561401014013</v>
      </c>
      <c r="C1054" s="8" t="s">
        <v>7</v>
      </c>
      <c r="D1054" s="9">
        <v>53.35</v>
      </c>
      <c r="E1054" s="8">
        <v>152</v>
      </c>
    </row>
    <row r="1055" s="3" customFormat="1" ht="18.75" spans="1:5">
      <c r="A1055" s="8" t="str">
        <f t="shared" si="18"/>
        <v>250005</v>
      </c>
      <c r="B1055" s="8" t="str">
        <f>"2561401013216"</f>
        <v>2561401013216</v>
      </c>
      <c r="C1055" s="8" t="s">
        <v>7</v>
      </c>
      <c r="D1055" s="9">
        <v>53.31</v>
      </c>
      <c r="E1055" s="8">
        <v>153</v>
      </c>
    </row>
    <row r="1056" s="3" customFormat="1" ht="18.75" spans="1:5">
      <c r="A1056" s="8" t="str">
        <f t="shared" si="18"/>
        <v>250005</v>
      </c>
      <c r="B1056" s="8" t="str">
        <f>"2561401013111"</f>
        <v>2561401013111</v>
      </c>
      <c r="C1056" s="8" t="s">
        <v>7</v>
      </c>
      <c r="D1056" s="9">
        <v>53.07</v>
      </c>
      <c r="E1056" s="8">
        <v>154</v>
      </c>
    </row>
    <row r="1057" s="3" customFormat="1" ht="18.75" spans="1:5">
      <c r="A1057" s="8" t="str">
        <f t="shared" si="18"/>
        <v>250005</v>
      </c>
      <c r="B1057" s="8" t="str">
        <f>"2561401013301"</f>
        <v>2561401013301</v>
      </c>
      <c r="C1057" s="8" t="s">
        <v>7</v>
      </c>
      <c r="D1057" s="9">
        <v>52.69</v>
      </c>
      <c r="E1057" s="8">
        <v>155</v>
      </c>
    </row>
    <row r="1058" s="3" customFormat="1" ht="18.75" spans="1:5">
      <c r="A1058" s="8" t="str">
        <f t="shared" si="18"/>
        <v>250005</v>
      </c>
      <c r="B1058" s="8" t="str">
        <f>"2561401013321"</f>
        <v>2561401013321</v>
      </c>
      <c r="C1058" s="8" t="s">
        <v>7</v>
      </c>
      <c r="D1058" s="9">
        <v>52.57</v>
      </c>
      <c r="E1058" s="8">
        <v>156</v>
      </c>
    </row>
    <row r="1059" s="3" customFormat="1" ht="18.75" spans="1:5">
      <c r="A1059" s="8" t="str">
        <f t="shared" si="18"/>
        <v>250005</v>
      </c>
      <c r="B1059" s="8" t="str">
        <f>"2561401013219"</f>
        <v>2561401013219</v>
      </c>
      <c r="C1059" s="8" t="s">
        <v>7</v>
      </c>
      <c r="D1059" s="9">
        <v>52.34</v>
      </c>
      <c r="E1059" s="8">
        <v>157</v>
      </c>
    </row>
    <row r="1060" s="3" customFormat="1" ht="18.75" spans="1:5">
      <c r="A1060" s="8" t="str">
        <f t="shared" si="18"/>
        <v>250005</v>
      </c>
      <c r="B1060" s="8" t="str">
        <f>"2561401013917"</f>
        <v>2561401013917</v>
      </c>
      <c r="C1060" s="8" t="s">
        <v>7</v>
      </c>
      <c r="D1060" s="9">
        <v>52.24</v>
      </c>
      <c r="E1060" s="8">
        <v>158</v>
      </c>
    </row>
    <row r="1061" s="3" customFormat="1" ht="18.75" spans="1:5">
      <c r="A1061" s="8" t="str">
        <f t="shared" si="18"/>
        <v>250005</v>
      </c>
      <c r="B1061" s="8" t="str">
        <f>"2561401013517"</f>
        <v>2561401013517</v>
      </c>
      <c r="C1061" s="8" t="s">
        <v>7</v>
      </c>
      <c r="D1061" s="9">
        <v>52</v>
      </c>
      <c r="E1061" s="8">
        <v>159</v>
      </c>
    </row>
    <row r="1062" s="3" customFormat="1" ht="18.75" spans="1:5">
      <c r="A1062" s="8" t="str">
        <f t="shared" si="18"/>
        <v>250005</v>
      </c>
      <c r="B1062" s="8" t="str">
        <f>"2561401013505"</f>
        <v>2561401013505</v>
      </c>
      <c r="C1062" s="8" t="s">
        <v>7</v>
      </c>
      <c r="D1062" s="9">
        <v>51.97</v>
      </c>
      <c r="E1062" s="8">
        <v>160</v>
      </c>
    </row>
    <row r="1063" s="3" customFormat="1" ht="18.75" spans="1:5">
      <c r="A1063" s="8" t="str">
        <f t="shared" si="18"/>
        <v>250005</v>
      </c>
      <c r="B1063" s="8" t="str">
        <f>"2561401013214"</f>
        <v>2561401013214</v>
      </c>
      <c r="C1063" s="8" t="s">
        <v>7</v>
      </c>
      <c r="D1063" s="9">
        <v>51.95</v>
      </c>
      <c r="E1063" s="8">
        <v>161</v>
      </c>
    </row>
    <row r="1064" s="3" customFormat="1" ht="18.75" spans="1:5">
      <c r="A1064" s="8" t="str">
        <f t="shared" si="18"/>
        <v>250005</v>
      </c>
      <c r="B1064" s="8" t="str">
        <f>"2561401013211"</f>
        <v>2561401013211</v>
      </c>
      <c r="C1064" s="8" t="s">
        <v>7</v>
      </c>
      <c r="D1064" s="9">
        <v>51.64</v>
      </c>
      <c r="E1064" s="8">
        <v>162</v>
      </c>
    </row>
    <row r="1065" s="3" customFormat="1" ht="18.75" spans="1:5">
      <c r="A1065" s="8" t="str">
        <f t="shared" si="18"/>
        <v>250005</v>
      </c>
      <c r="B1065" s="8" t="str">
        <f>"2561401013711"</f>
        <v>2561401013711</v>
      </c>
      <c r="C1065" s="8" t="s">
        <v>7</v>
      </c>
      <c r="D1065" s="9">
        <v>51.64</v>
      </c>
      <c r="E1065" s="8">
        <v>162</v>
      </c>
    </row>
    <row r="1066" s="3" customFormat="1" ht="18.75" spans="1:5">
      <c r="A1066" s="8" t="str">
        <f t="shared" si="18"/>
        <v>250005</v>
      </c>
      <c r="B1066" s="8" t="str">
        <f>"2561401013430"</f>
        <v>2561401013430</v>
      </c>
      <c r="C1066" s="8" t="s">
        <v>7</v>
      </c>
      <c r="D1066" s="9">
        <v>51.38</v>
      </c>
      <c r="E1066" s="8">
        <v>164</v>
      </c>
    </row>
    <row r="1067" s="3" customFormat="1" ht="18.75" spans="1:5">
      <c r="A1067" s="8" t="str">
        <f t="shared" si="18"/>
        <v>250005</v>
      </c>
      <c r="B1067" s="8" t="str">
        <f>"2561401013428"</f>
        <v>2561401013428</v>
      </c>
      <c r="C1067" s="8" t="s">
        <v>7</v>
      </c>
      <c r="D1067" s="9">
        <v>51.28</v>
      </c>
      <c r="E1067" s="8">
        <v>165</v>
      </c>
    </row>
    <row r="1068" s="3" customFormat="1" ht="18.75" spans="1:5">
      <c r="A1068" s="8" t="str">
        <f t="shared" si="18"/>
        <v>250005</v>
      </c>
      <c r="B1068" s="8" t="str">
        <f>"2561401013115"</f>
        <v>2561401013115</v>
      </c>
      <c r="C1068" s="8" t="s">
        <v>7</v>
      </c>
      <c r="D1068" s="9">
        <v>51.27</v>
      </c>
      <c r="E1068" s="8">
        <v>166</v>
      </c>
    </row>
    <row r="1069" s="3" customFormat="1" ht="18.75" spans="1:5">
      <c r="A1069" s="8" t="str">
        <f t="shared" si="18"/>
        <v>250005</v>
      </c>
      <c r="B1069" s="8" t="str">
        <f>"2561401013710"</f>
        <v>2561401013710</v>
      </c>
      <c r="C1069" s="8" t="s">
        <v>7</v>
      </c>
      <c r="D1069" s="9">
        <v>51.14</v>
      </c>
      <c r="E1069" s="8">
        <v>167</v>
      </c>
    </row>
    <row r="1070" s="3" customFormat="1" ht="18.75" spans="1:5">
      <c r="A1070" s="8" t="str">
        <f t="shared" si="18"/>
        <v>250005</v>
      </c>
      <c r="B1070" s="8" t="str">
        <f>"2561401013105"</f>
        <v>2561401013105</v>
      </c>
      <c r="C1070" s="8" t="s">
        <v>7</v>
      </c>
      <c r="D1070" s="9">
        <v>51.12</v>
      </c>
      <c r="E1070" s="8">
        <v>168</v>
      </c>
    </row>
    <row r="1071" s="3" customFormat="1" ht="18.75" spans="1:5">
      <c r="A1071" s="8" t="str">
        <f t="shared" si="18"/>
        <v>250005</v>
      </c>
      <c r="B1071" s="8" t="str">
        <f>"2561401013307"</f>
        <v>2561401013307</v>
      </c>
      <c r="C1071" s="8" t="s">
        <v>7</v>
      </c>
      <c r="D1071" s="9">
        <v>51.04</v>
      </c>
      <c r="E1071" s="8">
        <v>169</v>
      </c>
    </row>
    <row r="1072" s="3" customFormat="1" ht="18.75" spans="1:5">
      <c r="A1072" s="8" t="str">
        <f t="shared" si="18"/>
        <v>250005</v>
      </c>
      <c r="B1072" s="8" t="str">
        <f>"2561401013308"</f>
        <v>2561401013308</v>
      </c>
      <c r="C1072" s="8" t="s">
        <v>7</v>
      </c>
      <c r="D1072" s="9">
        <v>50.68</v>
      </c>
      <c r="E1072" s="8">
        <v>170</v>
      </c>
    </row>
    <row r="1073" s="3" customFormat="1" ht="18.75" spans="1:5">
      <c r="A1073" s="8" t="str">
        <f t="shared" si="18"/>
        <v>250005</v>
      </c>
      <c r="B1073" s="8" t="str">
        <f>"2561401013908"</f>
        <v>2561401013908</v>
      </c>
      <c r="C1073" s="8" t="s">
        <v>7</v>
      </c>
      <c r="D1073" s="9">
        <v>50.66</v>
      </c>
      <c r="E1073" s="8">
        <v>171</v>
      </c>
    </row>
    <row r="1074" s="3" customFormat="1" ht="18.75" spans="1:5">
      <c r="A1074" s="8" t="str">
        <f t="shared" si="18"/>
        <v>250005</v>
      </c>
      <c r="B1074" s="8" t="str">
        <f>"2561401013203"</f>
        <v>2561401013203</v>
      </c>
      <c r="C1074" s="8" t="s">
        <v>7</v>
      </c>
      <c r="D1074" s="9">
        <v>50.61</v>
      </c>
      <c r="E1074" s="8">
        <v>172</v>
      </c>
    </row>
    <row r="1075" s="3" customFormat="1" ht="18.75" spans="1:5">
      <c r="A1075" s="8" t="str">
        <f t="shared" si="18"/>
        <v>250005</v>
      </c>
      <c r="B1075" s="8" t="str">
        <f>"2561401013729"</f>
        <v>2561401013729</v>
      </c>
      <c r="C1075" s="8" t="s">
        <v>7</v>
      </c>
      <c r="D1075" s="9">
        <v>50.49</v>
      </c>
      <c r="E1075" s="8">
        <v>173</v>
      </c>
    </row>
    <row r="1076" s="3" customFormat="1" ht="18.75" spans="1:5">
      <c r="A1076" s="8" t="str">
        <f t="shared" si="18"/>
        <v>250005</v>
      </c>
      <c r="B1076" s="8" t="str">
        <f>"2561401013125"</f>
        <v>2561401013125</v>
      </c>
      <c r="C1076" s="8" t="s">
        <v>7</v>
      </c>
      <c r="D1076" s="9">
        <v>50.12</v>
      </c>
      <c r="E1076" s="8">
        <v>174</v>
      </c>
    </row>
    <row r="1077" s="3" customFormat="1" ht="18.75" spans="1:5">
      <c r="A1077" s="8" t="str">
        <f t="shared" si="18"/>
        <v>250005</v>
      </c>
      <c r="B1077" s="8" t="str">
        <f>"2561401013725"</f>
        <v>2561401013725</v>
      </c>
      <c r="C1077" s="8" t="s">
        <v>7</v>
      </c>
      <c r="D1077" s="9">
        <v>49.4</v>
      </c>
      <c r="E1077" s="8">
        <v>175</v>
      </c>
    </row>
    <row r="1078" s="3" customFormat="1" ht="18.75" spans="1:5">
      <c r="A1078" s="8" t="str">
        <f t="shared" si="18"/>
        <v>250005</v>
      </c>
      <c r="B1078" s="8" t="str">
        <f>"2561401013913"</f>
        <v>2561401013913</v>
      </c>
      <c r="C1078" s="8" t="s">
        <v>7</v>
      </c>
      <c r="D1078" s="9">
        <v>49.12</v>
      </c>
      <c r="E1078" s="8">
        <v>176</v>
      </c>
    </row>
    <row r="1079" s="3" customFormat="1" ht="18.75" spans="1:5">
      <c r="A1079" s="8" t="str">
        <f t="shared" si="18"/>
        <v>250005</v>
      </c>
      <c r="B1079" s="8" t="str">
        <f>"2561401013629"</f>
        <v>2561401013629</v>
      </c>
      <c r="C1079" s="8" t="s">
        <v>7</v>
      </c>
      <c r="D1079" s="9">
        <v>49.11</v>
      </c>
      <c r="E1079" s="8">
        <v>177</v>
      </c>
    </row>
    <row r="1080" s="3" customFormat="1" ht="18.75" spans="1:5">
      <c r="A1080" s="8" t="str">
        <f t="shared" si="18"/>
        <v>250005</v>
      </c>
      <c r="B1080" s="8" t="str">
        <f>"2561401013508"</f>
        <v>2561401013508</v>
      </c>
      <c r="C1080" s="8" t="s">
        <v>7</v>
      </c>
      <c r="D1080" s="9">
        <v>48.87</v>
      </c>
      <c r="E1080" s="8">
        <v>178</v>
      </c>
    </row>
    <row r="1081" s="3" customFormat="1" ht="18.75" spans="1:5">
      <c r="A1081" s="8" t="str">
        <f t="shared" si="18"/>
        <v>250005</v>
      </c>
      <c r="B1081" s="8" t="str">
        <f>"2561401013922"</f>
        <v>2561401013922</v>
      </c>
      <c r="C1081" s="8" t="s">
        <v>7</v>
      </c>
      <c r="D1081" s="9">
        <v>48.55</v>
      </c>
      <c r="E1081" s="8">
        <v>179</v>
      </c>
    </row>
    <row r="1082" s="3" customFormat="1" ht="18.75" spans="1:5">
      <c r="A1082" s="8" t="str">
        <f t="shared" si="18"/>
        <v>250005</v>
      </c>
      <c r="B1082" s="8" t="str">
        <f>"2561401013722"</f>
        <v>2561401013722</v>
      </c>
      <c r="C1082" s="8" t="s">
        <v>7</v>
      </c>
      <c r="D1082" s="9">
        <v>48.3</v>
      </c>
      <c r="E1082" s="8">
        <v>180</v>
      </c>
    </row>
    <row r="1083" s="3" customFormat="1" ht="18.75" spans="1:5">
      <c r="A1083" s="8" t="str">
        <f t="shared" si="18"/>
        <v>250005</v>
      </c>
      <c r="B1083" s="8" t="str">
        <f>"2561401013815"</f>
        <v>2561401013815</v>
      </c>
      <c r="C1083" s="8" t="s">
        <v>7</v>
      </c>
      <c r="D1083" s="9">
        <v>48.12</v>
      </c>
      <c r="E1083" s="8">
        <v>181</v>
      </c>
    </row>
    <row r="1084" s="3" customFormat="1" ht="18.75" spans="1:5">
      <c r="A1084" s="8" t="str">
        <f t="shared" si="18"/>
        <v>250005</v>
      </c>
      <c r="B1084" s="8" t="str">
        <f>"2561401013330"</f>
        <v>2561401013330</v>
      </c>
      <c r="C1084" s="8" t="s">
        <v>7</v>
      </c>
      <c r="D1084" s="9">
        <v>48.1</v>
      </c>
      <c r="E1084" s="8">
        <v>182</v>
      </c>
    </row>
    <row r="1085" s="3" customFormat="1" ht="18.75" spans="1:5">
      <c r="A1085" s="8" t="str">
        <f t="shared" si="18"/>
        <v>250005</v>
      </c>
      <c r="B1085" s="8" t="str">
        <f>"2561401013828"</f>
        <v>2561401013828</v>
      </c>
      <c r="C1085" s="8" t="s">
        <v>7</v>
      </c>
      <c r="D1085" s="9">
        <v>48.07</v>
      </c>
      <c r="E1085" s="8">
        <v>183</v>
      </c>
    </row>
    <row r="1086" s="3" customFormat="1" ht="18.75" spans="1:5">
      <c r="A1086" s="8" t="str">
        <f t="shared" si="18"/>
        <v>250005</v>
      </c>
      <c r="B1086" s="8" t="str">
        <f>"2561401013929"</f>
        <v>2561401013929</v>
      </c>
      <c r="C1086" s="8" t="s">
        <v>7</v>
      </c>
      <c r="D1086" s="9">
        <v>48</v>
      </c>
      <c r="E1086" s="8">
        <v>184</v>
      </c>
    </row>
    <row r="1087" s="3" customFormat="1" ht="18.75" spans="1:5">
      <c r="A1087" s="8" t="str">
        <f t="shared" si="18"/>
        <v>250005</v>
      </c>
      <c r="B1087" s="8" t="str">
        <f>"2561401013303"</f>
        <v>2561401013303</v>
      </c>
      <c r="C1087" s="8" t="s">
        <v>7</v>
      </c>
      <c r="D1087" s="9">
        <v>47.93</v>
      </c>
      <c r="E1087" s="8">
        <v>185</v>
      </c>
    </row>
    <row r="1088" s="3" customFormat="1" ht="18.75" spans="1:5">
      <c r="A1088" s="8" t="str">
        <f t="shared" si="18"/>
        <v>250005</v>
      </c>
      <c r="B1088" s="8" t="str">
        <f>"2561401013527"</f>
        <v>2561401013527</v>
      </c>
      <c r="C1088" s="8" t="s">
        <v>7</v>
      </c>
      <c r="D1088" s="9">
        <v>47.85</v>
      </c>
      <c r="E1088" s="8">
        <v>186</v>
      </c>
    </row>
    <row r="1089" s="3" customFormat="1" ht="18.75" spans="1:5">
      <c r="A1089" s="8" t="str">
        <f t="shared" si="18"/>
        <v>250005</v>
      </c>
      <c r="B1089" s="8" t="str">
        <f>"2561401013718"</f>
        <v>2561401013718</v>
      </c>
      <c r="C1089" s="8" t="s">
        <v>7</v>
      </c>
      <c r="D1089" s="9">
        <v>47.5</v>
      </c>
      <c r="E1089" s="8">
        <v>187</v>
      </c>
    </row>
    <row r="1090" s="3" customFormat="1" ht="18.75" spans="1:5">
      <c r="A1090" s="8" t="str">
        <f t="shared" si="18"/>
        <v>250005</v>
      </c>
      <c r="B1090" s="8" t="str">
        <f>"2561401013215"</f>
        <v>2561401013215</v>
      </c>
      <c r="C1090" s="8" t="s">
        <v>7</v>
      </c>
      <c r="D1090" s="9">
        <v>47.44</v>
      </c>
      <c r="E1090" s="8">
        <v>188</v>
      </c>
    </row>
    <row r="1091" s="3" customFormat="1" ht="18.75" spans="1:5">
      <c r="A1091" s="8" t="str">
        <f t="shared" si="18"/>
        <v>250005</v>
      </c>
      <c r="B1091" s="8" t="str">
        <f>"2561401013208"</f>
        <v>2561401013208</v>
      </c>
      <c r="C1091" s="8" t="s">
        <v>7</v>
      </c>
      <c r="D1091" s="9">
        <v>47.1</v>
      </c>
      <c r="E1091" s="8">
        <v>189</v>
      </c>
    </row>
    <row r="1092" s="3" customFormat="1" ht="18.75" spans="1:5">
      <c r="A1092" s="8" t="str">
        <f t="shared" si="18"/>
        <v>250005</v>
      </c>
      <c r="B1092" s="8" t="str">
        <f>"2561401013624"</f>
        <v>2561401013624</v>
      </c>
      <c r="C1092" s="8" t="s">
        <v>7</v>
      </c>
      <c r="D1092" s="9">
        <v>46.87</v>
      </c>
      <c r="E1092" s="8">
        <v>190</v>
      </c>
    </row>
    <row r="1093" s="3" customFormat="1" ht="18.75" spans="1:5">
      <c r="A1093" s="8" t="str">
        <f t="shared" si="18"/>
        <v>250005</v>
      </c>
      <c r="B1093" s="8" t="str">
        <f>"2561401013207"</f>
        <v>2561401013207</v>
      </c>
      <c r="C1093" s="8" t="s">
        <v>7</v>
      </c>
      <c r="D1093" s="9">
        <v>45.97</v>
      </c>
      <c r="E1093" s="8">
        <v>191</v>
      </c>
    </row>
    <row r="1094" s="3" customFormat="1" ht="18.75" spans="1:5">
      <c r="A1094" s="8" t="str">
        <f t="shared" si="18"/>
        <v>250005</v>
      </c>
      <c r="B1094" s="8" t="str">
        <f>"2561401013705"</f>
        <v>2561401013705</v>
      </c>
      <c r="C1094" s="8" t="s">
        <v>7</v>
      </c>
      <c r="D1094" s="9">
        <v>45.93</v>
      </c>
      <c r="E1094" s="8">
        <v>192</v>
      </c>
    </row>
    <row r="1095" s="3" customFormat="1" ht="18.75" spans="1:5">
      <c r="A1095" s="8" t="str">
        <f t="shared" ref="A1095:A1158" si="19">"250005"</f>
        <v>250005</v>
      </c>
      <c r="B1095" s="8" t="str">
        <f>"2561401013119"</f>
        <v>2561401013119</v>
      </c>
      <c r="C1095" s="8" t="s">
        <v>7</v>
      </c>
      <c r="D1095" s="9">
        <v>45.27</v>
      </c>
      <c r="E1095" s="8">
        <v>193</v>
      </c>
    </row>
    <row r="1096" s="3" customFormat="1" ht="18.75" spans="1:5">
      <c r="A1096" s="8" t="str">
        <f t="shared" si="19"/>
        <v>250005</v>
      </c>
      <c r="B1096" s="8" t="str">
        <f>"2561401013903"</f>
        <v>2561401013903</v>
      </c>
      <c r="C1096" s="8" t="s">
        <v>7</v>
      </c>
      <c r="D1096" s="9">
        <v>45.05</v>
      </c>
      <c r="E1096" s="8">
        <v>194</v>
      </c>
    </row>
    <row r="1097" s="3" customFormat="1" ht="18.75" spans="1:5">
      <c r="A1097" s="8" t="str">
        <f t="shared" si="19"/>
        <v>250005</v>
      </c>
      <c r="B1097" s="8" t="str">
        <f>"2561401013814"</f>
        <v>2561401013814</v>
      </c>
      <c r="C1097" s="8" t="s">
        <v>7</v>
      </c>
      <c r="D1097" s="9">
        <v>44.88</v>
      </c>
      <c r="E1097" s="8">
        <v>195</v>
      </c>
    </row>
    <row r="1098" s="3" customFormat="1" ht="18.75" spans="1:5">
      <c r="A1098" s="8" t="str">
        <f t="shared" si="19"/>
        <v>250005</v>
      </c>
      <c r="B1098" s="8" t="str">
        <f>"2561401013414"</f>
        <v>2561401013414</v>
      </c>
      <c r="C1098" s="8" t="s">
        <v>7</v>
      </c>
      <c r="D1098" s="9">
        <v>44.63</v>
      </c>
      <c r="E1098" s="8">
        <v>196</v>
      </c>
    </row>
    <row r="1099" s="3" customFormat="1" ht="18.75" spans="1:5">
      <c r="A1099" s="8" t="str">
        <f t="shared" si="19"/>
        <v>250005</v>
      </c>
      <c r="B1099" s="8" t="str">
        <f>"2561401013507"</f>
        <v>2561401013507</v>
      </c>
      <c r="C1099" s="8" t="s">
        <v>7</v>
      </c>
      <c r="D1099" s="9">
        <v>43.84</v>
      </c>
      <c r="E1099" s="8">
        <v>197</v>
      </c>
    </row>
    <row r="1100" s="3" customFormat="1" ht="18.75" spans="1:5">
      <c r="A1100" s="8" t="str">
        <f t="shared" si="19"/>
        <v>250005</v>
      </c>
      <c r="B1100" s="8" t="str">
        <f>"2561401013715"</f>
        <v>2561401013715</v>
      </c>
      <c r="C1100" s="8" t="s">
        <v>7</v>
      </c>
      <c r="D1100" s="9">
        <v>43.82</v>
      </c>
      <c r="E1100" s="8">
        <v>198</v>
      </c>
    </row>
    <row r="1101" s="3" customFormat="1" ht="18.75" spans="1:5">
      <c r="A1101" s="8" t="str">
        <f t="shared" si="19"/>
        <v>250005</v>
      </c>
      <c r="B1101" s="8" t="str">
        <f>"2561401013602"</f>
        <v>2561401013602</v>
      </c>
      <c r="C1101" s="8" t="s">
        <v>7</v>
      </c>
      <c r="D1101" s="9">
        <v>43.61</v>
      </c>
      <c r="E1101" s="8">
        <v>199</v>
      </c>
    </row>
    <row r="1102" s="3" customFormat="1" ht="18.75" spans="1:5">
      <c r="A1102" s="8" t="str">
        <f t="shared" si="19"/>
        <v>250005</v>
      </c>
      <c r="B1102" s="8" t="str">
        <f>"2561401013402"</f>
        <v>2561401013402</v>
      </c>
      <c r="C1102" s="8" t="s">
        <v>7</v>
      </c>
      <c r="D1102" s="9">
        <v>43.57</v>
      </c>
      <c r="E1102" s="8">
        <v>200</v>
      </c>
    </row>
    <row r="1103" s="3" customFormat="1" ht="18.75" spans="1:5">
      <c r="A1103" s="8" t="str">
        <f t="shared" si="19"/>
        <v>250005</v>
      </c>
      <c r="B1103" s="8" t="str">
        <f>"2561401013714"</f>
        <v>2561401013714</v>
      </c>
      <c r="C1103" s="8" t="s">
        <v>7</v>
      </c>
      <c r="D1103" s="9">
        <v>42.85</v>
      </c>
      <c r="E1103" s="8">
        <v>201</v>
      </c>
    </row>
    <row r="1104" s="3" customFormat="1" ht="18.75" spans="1:5">
      <c r="A1104" s="8" t="str">
        <f t="shared" si="19"/>
        <v>250005</v>
      </c>
      <c r="B1104" s="8" t="str">
        <f>"2561401013112"</f>
        <v>2561401013112</v>
      </c>
      <c r="C1104" s="8" t="s">
        <v>7</v>
      </c>
      <c r="D1104" s="9">
        <v>42.84</v>
      </c>
      <c r="E1104" s="8">
        <v>202</v>
      </c>
    </row>
    <row r="1105" s="3" customFormat="1" ht="18.75" spans="1:5">
      <c r="A1105" s="8" t="str">
        <f t="shared" si="19"/>
        <v>250005</v>
      </c>
      <c r="B1105" s="8" t="str">
        <f>"2561401013528"</f>
        <v>2561401013528</v>
      </c>
      <c r="C1105" s="8" t="s">
        <v>7</v>
      </c>
      <c r="D1105" s="9">
        <v>41.49</v>
      </c>
      <c r="E1105" s="8">
        <v>203</v>
      </c>
    </row>
    <row r="1106" s="3" customFormat="1" ht="18.75" spans="1:5">
      <c r="A1106" s="8" t="str">
        <f t="shared" si="19"/>
        <v>250005</v>
      </c>
      <c r="B1106" s="8" t="str">
        <f>"2561401014003"</f>
        <v>2561401014003</v>
      </c>
      <c r="C1106" s="8" t="s">
        <v>7</v>
      </c>
      <c r="D1106" s="9">
        <v>40.84</v>
      </c>
      <c r="E1106" s="8">
        <v>204</v>
      </c>
    </row>
    <row r="1107" s="3" customFormat="1" ht="18.75" spans="1:5">
      <c r="A1107" s="8" t="str">
        <f t="shared" si="19"/>
        <v>250005</v>
      </c>
      <c r="B1107" s="8" t="str">
        <f>"2561401013316"</f>
        <v>2561401013316</v>
      </c>
      <c r="C1107" s="8" t="s">
        <v>7</v>
      </c>
      <c r="D1107" s="9">
        <v>39.84</v>
      </c>
      <c r="E1107" s="8">
        <v>205</v>
      </c>
    </row>
    <row r="1108" s="3" customFormat="1" ht="18.75" spans="1:5">
      <c r="A1108" s="8" t="str">
        <f t="shared" si="19"/>
        <v>250005</v>
      </c>
      <c r="B1108" s="8" t="str">
        <f>"2561401013924"</f>
        <v>2561401013924</v>
      </c>
      <c r="C1108" s="8" t="s">
        <v>7</v>
      </c>
      <c r="D1108" s="9">
        <v>39.5</v>
      </c>
      <c r="E1108" s="8">
        <v>206</v>
      </c>
    </row>
    <row r="1109" s="3" customFormat="1" ht="18.75" spans="1:5">
      <c r="A1109" s="8" t="str">
        <f t="shared" si="19"/>
        <v>250005</v>
      </c>
      <c r="B1109" s="8" t="str">
        <f>"2561401013030"</f>
        <v>2561401013030</v>
      </c>
      <c r="C1109" s="8" t="s">
        <v>7</v>
      </c>
      <c r="D1109" s="9">
        <v>38.84</v>
      </c>
      <c r="E1109" s="8">
        <v>207</v>
      </c>
    </row>
    <row r="1110" s="3" customFormat="1" ht="18.75" spans="1:5">
      <c r="A1110" s="8" t="str">
        <f t="shared" si="19"/>
        <v>250005</v>
      </c>
      <c r="B1110" s="8" t="str">
        <f>"2561401013515"</f>
        <v>2561401013515</v>
      </c>
      <c r="C1110" s="8" t="s">
        <v>7</v>
      </c>
      <c r="D1110" s="9">
        <v>38.09</v>
      </c>
      <c r="E1110" s="8">
        <v>208</v>
      </c>
    </row>
    <row r="1111" s="3" customFormat="1" ht="18.75" spans="1:5">
      <c r="A1111" s="8" t="str">
        <f t="shared" si="19"/>
        <v>250005</v>
      </c>
      <c r="B1111" s="8" t="str">
        <f>"2561401013421"</f>
        <v>2561401013421</v>
      </c>
      <c r="C1111" s="8" t="s">
        <v>7</v>
      </c>
      <c r="D1111" s="9">
        <v>37.1</v>
      </c>
      <c r="E1111" s="8">
        <v>209</v>
      </c>
    </row>
    <row r="1112" s="3" customFormat="1" ht="18.75" spans="1:5">
      <c r="A1112" s="8" t="str">
        <f t="shared" si="19"/>
        <v>250005</v>
      </c>
      <c r="B1112" s="8" t="str">
        <f>"2561401014018"</f>
        <v>2561401014018</v>
      </c>
      <c r="C1112" s="8" t="s">
        <v>7</v>
      </c>
      <c r="D1112" s="9">
        <v>36.24</v>
      </c>
      <c r="E1112" s="8">
        <v>210</v>
      </c>
    </row>
    <row r="1113" s="3" customFormat="1" ht="18.75" spans="1:5">
      <c r="A1113" s="8" t="str">
        <f t="shared" si="19"/>
        <v>250005</v>
      </c>
      <c r="B1113" s="8" t="str">
        <f>"2561401013121"</f>
        <v>2561401013121</v>
      </c>
      <c r="C1113" s="8" t="s">
        <v>7</v>
      </c>
      <c r="D1113" s="9">
        <v>34.14</v>
      </c>
      <c r="E1113" s="8">
        <v>211</v>
      </c>
    </row>
    <row r="1114" s="3" customFormat="1" ht="18.75" spans="1:5">
      <c r="A1114" s="8" t="str">
        <f t="shared" si="19"/>
        <v>250005</v>
      </c>
      <c r="B1114" s="8" t="str">
        <f>"2561401013628"</f>
        <v>2561401013628</v>
      </c>
      <c r="C1114" s="8" t="s">
        <v>7</v>
      </c>
      <c r="D1114" s="9">
        <v>33.31</v>
      </c>
      <c r="E1114" s="8">
        <v>212</v>
      </c>
    </row>
    <row r="1115" s="3" customFormat="1" ht="18.75" spans="1:5">
      <c r="A1115" s="8" t="str">
        <f t="shared" si="19"/>
        <v>250005</v>
      </c>
      <c r="B1115" s="8" t="str">
        <f>"2561401013512"</f>
        <v>2561401013512</v>
      </c>
      <c r="C1115" s="8" t="s">
        <v>7</v>
      </c>
      <c r="D1115" s="9">
        <v>32.74</v>
      </c>
      <c r="E1115" s="8">
        <v>213</v>
      </c>
    </row>
    <row r="1116" s="3" customFormat="1" ht="18.75" spans="1:5">
      <c r="A1116" s="8" t="str">
        <f t="shared" si="19"/>
        <v>250005</v>
      </c>
      <c r="B1116" s="8" t="str">
        <f>"2561401013212"</f>
        <v>2561401013212</v>
      </c>
      <c r="C1116" s="8" t="s">
        <v>7</v>
      </c>
      <c r="D1116" s="9">
        <v>30.89</v>
      </c>
      <c r="E1116" s="8">
        <v>214</v>
      </c>
    </row>
    <row r="1117" s="3" customFormat="1" ht="18.75" spans="1:5">
      <c r="A1117" s="8" t="str">
        <f t="shared" si="19"/>
        <v>250005</v>
      </c>
      <c r="B1117" s="8" t="str">
        <f>"2561401013122"</f>
        <v>2561401013122</v>
      </c>
      <c r="C1117" s="8" t="s">
        <v>7</v>
      </c>
      <c r="D1117" s="9">
        <v>29.6</v>
      </c>
      <c r="E1117" s="8">
        <v>215</v>
      </c>
    </row>
    <row r="1118" s="3" customFormat="1" ht="18.75" spans="1:5">
      <c r="A1118" s="8" t="str">
        <f t="shared" si="19"/>
        <v>250005</v>
      </c>
      <c r="B1118" s="8" t="str">
        <f>"2561401013702"</f>
        <v>2561401013702</v>
      </c>
      <c r="C1118" s="8" t="s">
        <v>7</v>
      </c>
      <c r="D1118" s="9">
        <v>28.16</v>
      </c>
      <c r="E1118" s="8">
        <v>216</v>
      </c>
    </row>
    <row r="1119" s="3" customFormat="1" ht="18.75" spans="1:5">
      <c r="A1119" s="8" t="str">
        <f t="shared" si="19"/>
        <v>250005</v>
      </c>
      <c r="B1119" s="8" t="str">
        <f>"2561401013915"</f>
        <v>2561401013915</v>
      </c>
      <c r="C1119" s="8" t="s">
        <v>7</v>
      </c>
      <c r="D1119" s="9">
        <v>26.59</v>
      </c>
      <c r="E1119" s="8">
        <v>217</v>
      </c>
    </row>
    <row r="1120" s="3" customFormat="1" ht="18.75" spans="1:5">
      <c r="A1120" s="8" t="str">
        <f t="shared" si="19"/>
        <v>250005</v>
      </c>
      <c r="B1120" s="8" t="str">
        <f>"2561401013509"</f>
        <v>2561401013509</v>
      </c>
      <c r="C1120" s="8" t="s">
        <v>7</v>
      </c>
      <c r="D1120" s="9">
        <v>26.08</v>
      </c>
      <c r="E1120" s="8">
        <v>218</v>
      </c>
    </row>
    <row r="1121" s="3" customFormat="1" ht="18.75" spans="1:5">
      <c r="A1121" s="8" t="str">
        <f t="shared" si="19"/>
        <v>250005</v>
      </c>
      <c r="B1121" s="8" t="str">
        <f>"2561401013116"</f>
        <v>2561401013116</v>
      </c>
      <c r="C1121" s="8" t="s">
        <v>7</v>
      </c>
      <c r="D1121" s="9">
        <v>25.44</v>
      </c>
      <c r="E1121" s="8">
        <v>219</v>
      </c>
    </row>
    <row r="1122" s="3" customFormat="1" ht="18.75" spans="1:5">
      <c r="A1122" s="8" t="str">
        <f t="shared" si="19"/>
        <v>250005</v>
      </c>
      <c r="B1122" s="8" t="str">
        <f>"2561401013101"</f>
        <v>2561401013101</v>
      </c>
      <c r="C1122" s="8" t="s">
        <v>7</v>
      </c>
      <c r="D1122" s="9">
        <v>0</v>
      </c>
      <c r="E1122" s="8">
        <v>220</v>
      </c>
    </row>
    <row r="1123" s="3" customFormat="1" ht="18.75" spans="1:5">
      <c r="A1123" s="8" t="str">
        <f t="shared" si="19"/>
        <v>250005</v>
      </c>
      <c r="B1123" s="8" t="str">
        <f>"2561401013107"</f>
        <v>2561401013107</v>
      </c>
      <c r="C1123" s="8" t="s">
        <v>7</v>
      </c>
      <c r="D1123" s="9">
        <v>0</v>
      </c>
      <c r="E1123" s="8">
        <v>220</v>
      </c>
    </row>
    <row r="1124" s="3" customFormat="1" ht="18.75" spans="1:5">
      <c r="A1124" s="8" t="str">
        <f t="shared" si="19"/>
        <v>250005</v>
      </c>
      <c r="B1124" s="8" t="str">
        <f>"2561401013108"</f>
        <v>2561401013108</v>
      </c>
      <c r="C1124" s="8" t="s">
        <v>7</v>
      </c>
      <c r="D1124" s="9">
        <v>0</v>
      </c>
      <c r="E1124" s="8">
        <v>220</v>
      </c>
    </row>
    <row r="1125" s="3" customFormat="1" ht="18.75" spans="1:5">
      <c r="A1125" s="8" t="str">
        <f t="shared" si="19"/>
        <v>250005</v>
      </c>
      <c r="B1125" s="8" t="str">
        <f>"2561401013109"</f>
        <v>2561401013109</v>
      </c>
      <c r="C1125" s="8" t="s">
        <v>7</v>
      </c>
      <c r="D1125" s="9">
        <v>0</v>
      </c>
      <c r="E1125" s="8">
        <v>220</v>
      </c>
    </row>
    <row r="1126" s="3" customFormat="1" ht="18.75" spans="1:5">
      <c r="A1126" s="8" t="str">
        <f t="shared" si="19"/>
        <v>250005</v>
      </c>
      <c r="B1126" s="8" t="str">
        <f>"2561401013110"</f>
        <v>2561401013110</v>
      </c>
      <c r="C1126" s="8" t="s">
        <v>7</v>
      </c>
      <c r="D1126" s="9">
        <v>0</v>
      </c>
      <c r="E1126" s="8">
        <v>220</v>
      </c>
    </row>
    <row r="1127" s="3" customFormat="1" ht="18.75" spans="1:5">
      <c r="A1127" s="8" t="str">
        <f t="shared" si="19"/>
        <v>250005</v>
      </c>
      <c r="B1127" s="8" t="str">
        <f>"2561401013114"</f>
        <v>2561401013114</v>
      </c>
      <c r="C1127" s="8" t="s">
        <v>7</v>
      </c>
      <c r="D1127" s="9">
        <v>0</v>
      </c>
      <c r="E1127" s="8">
        <v>220</v>
      </c>
    </row>
    <row r="1128" s="3" customFormat="1" ht="18.75" spans="1:5">
      <c r="A1128" s="8" t="str">
        <f t="shared" si="19"/>
        <v>250005</v>
      </c>
      <c r="B1128" s="8" t="str">
        <f>"2561401013117"</f>
        <v>2561401013117</v>
      </c>
      <c r="C1128" s="8" t="s">
        <v>7</v>
      </c>
      <c r="D1128" s="9">
        <v>0</v>
      </c>
      <c r="E1128" s="8">
        <v>220</v>
      </c>
    </row>
    <row r="1129" s="3" customFormat="1" ht="18.75" spans="1:5">
      <c r="A1129" s="8" t="str">
        <f t="shared" si="19"/>
        <v>250005</v>
      </c>
      <c r="B1129" s="8" t="str">
        <f>"2561401013120"</f>
        <v>2561401013120</v>
      </c>
      <c r="C1129" s="8" t="s">
        <v>7</v>
      </c>
      <c r="D1129" s="9">
        <v>0</v>
      </c>
      <c r="E1129" s="8">
        <v>220</v>
      </c>
    </row>
    <row r="1130" s="3" customFormat="1" ht="18.75" spans="1:5">
      <c r="A1130" s="8" t="str">
        <f t="shared" si="19"/>
        <v>250005</v>
      </c>
      <c r="B1130" s="8" t="str">
        <f>"2561401013124"</f>
        <v>2561401013124</v>
      </c>
      <c r="C1130" s="8" t="s">
        <v>7</v>
      </c>
      <c r="D1130" s="9">
        <v>0</v>
      </c>
      <c r="E1130" s="8">
        <v>220</v>
      </c>
    </row>
    <row r="1131" s="3" customFormat="1" ht="18.75" spans="1:5">
      <c r="A1131" s="8" t="str">
        <f t="shared" si="19"/>
        <v>250005</v>
      </c>
      <c r="B1131" s="8" t="str">
        <f>"2561401013127"</f>
        <v>2561401013127</v>
      </c>
      <c r="C1131" s="8" t="s">
        <v>7</v>
      </c>
      <c r="D1131" s="9">
        <v>0</v>
      </c>
      <c r="E1131" s="8">
        <v>220</v>
      </c>
    </row>
    <row r="1132" s="3" customFormat="1" ht="18.75" spans="1:5">
      <c r="A1132" s="8" t="str">
        <f t="shared" si="19"/>
        <v>250005</v>
      </c>
      <c r="B1132" s="8" t="str">
        <f>"2561401013129"</f>
        <v>2561401013129</v>
      </c>
      <c r="C1132" s="8" t="s">
        <v>7</v>
      </c>
      <c r="D1132" s="9">
        <v>0</v>
      </c>
      <c r="E1132" s="8">
        <v>220</v>
      </c>
    </row>
    <row r="1133" s="3" customFormat="1" ht="18.75" spans="1:5">
      <c r="A1133" s="8" t="str">
        <f t="shared" si="19"/>
        <v>250005</v>
      </c>
      <c r="B1133" s="8" t="str">
        <f>"2561401013205"</f>
        <v>2561401013205</v>
      </c>
      <c r="C1133" s="8" t="s">
        <v>7</v>
      </c>
      <c r="D1133" s="9">
        <v>0</v>
      </c>
      <c r="E1133" s="8">
        <v>220</v>
      </c>
    </row>
    <row r="1134" s="3" customFormat="1" ht="18.75" spans="1:5">
      <c r="A1134" s="8" t="str">
        <f t="shared" si="19"/>
        <v>250005</v>
      </c>
      <c r="B1134" s="8" t="str">
        <f>"2561401013206"</f>
        <v>2561401013206</v>
      </c>
      <c r="C1134" s="8" t="s">
        <v>7</v>
      </c>
      <c r="D1134" s="9">
        <v>0</v>
      </c>
      <c r="E1134" s="8">
        <v>220</v>
      </c>
    </row>
    <row r="1135" s="3" customFormat="1" ht="18.75" spans="1:5">
      <c r="A1135" s="8" t="str">
        <f t="shared" si="19"/>
        <v>250005</v>
      </c>
      <c r="B1135" s="8" t="str">
        <f>"2561401013222"</f>
        <v>2561401013222</v>
      </c>
      <c r="C1135" s="8" t="s">
        <v>7</v>
      </c>
      <c r="D1135" s="9">
        <v>0</v>
      </c>
      <c r="E1135" s="8">
        <v>220</v>
      </c>
    </row>
    <row r="1136" s="3" customFormat="1" ht="18.75" spans="1:5">
      <c r="A1136" s="8" t="str">
        <f t="shared" si="19"/>
        <v>250005</v>
      </c>
      <c r="B1136" s="8" t="str">
        <f>"2561401013230"</f>
        <v>2561401013230</v>
      </c>
      <c r="C1136" s="8" t="s">
        <v>7</v>
      </c>
      <c r="D1136" s="9">
        <v>0</v>
      </c>
      <c r="E1136" s="8">
        <v>220</v>
      </c>
    </row>
    <row r="1137" s="3" customFormat="1" ht="18.75" spans="1:5">
      <c r="A1137" s="8" t="str">
        <f t="shared" si="19"/>
        <v>250005</v>
      </c>
      <c r="B1137" s="8" t="str">
        <f>"2561401013302"</f>
        <v>2561401013302</v>
      </c>
      <c r="C1137" s="8" t="s">
        <v>7</v>
      </c>
      <c r="D1137" s="9">
        <v>0</v>
      </c>
      <c r="E1137" s="8">
        <v>220</v>
      </c>
    </row>
    <row r="1138" s="3" customFormat="1" ht="18.75" spans="1:5">
      <c r="A1138" s="8" t="str">
        <f t="shared" si="19"/>
        <v>250005</v>
      </c>
      <c r="B1138" s="8" t="str">
        <f>"2561401013310"</f>
        <v>2561401013310</v>
      </c>
      <c r="C1138" s="8" t="s">
        <v>7</v>
      </c>
      <c r="D1138" s="9">
        <v>0</v>
      </c>
      <c r="E1138" s="8">
        <v>220</v>
      </c>
    </row>
    <row r="1139" s="3" customFormat="1" ht="18.75" spans="1:5">
      <c r="A1139" s="8" t="str">
        <f t="shared" si="19"/>
        <v>250005</v>
      </c>
      <c r="B1139" s="8" t="str">
        <f>"2561401013313"</f>
        <v>2561401013313</v>
      </c>
      <c r="C1139" s="8" t="s">
        <v>7</v>
      </c>
      <c r="D1139" s="9">
        <v>0</v>
      </c>
      <c r="E1139" s="8">
        <v>220</v>
      </c>
    </row>
    <row r="1140" s="3" customFormat="1" ht="18.75" spans="1:5">
      <c r="A1140" s="8" t="str">
        <f t="shared" si="19"/>
        <v>250005</v>
      </c>
      <c r="B1140" s="8" t="str">
        <f>"2561401013317"</f>
        <v>2561401013317</v>
      </c>
      <c r="C1140" s="8" t="s">
        <v>7</v>
      </c>
      <c r="D1140" s="9">
        <v>0</v>
      </c>
      <c r="E1140" s="8">
        <v>220</v>
      </c>
    </row>
    <row r="1141" s="3" customFormat="1" ht="18.75" spans="1:5">
      <c r="A1141" s="8" t="str">
        <f t="shared" si="19"/>
        <v>250005</v>
      </c>
      <c r="B1141" s="8" t="str">
        <f>"2561401013320"</f>
        <v>2561401013320</v>
      </c>
      <c r="C1141" s="8" t="s">
        <v>7</v>
      </c>
      <c r="D1141" s="9">
        <v>0</v>
      </c>
      <c r="E1141" s="8">
        <v>220</v>
      </c>
    </row>
    <row r="1142" s="3" customFormat="1" ht="18.75" spans="1:5">
      <c r="A1142" s="8" t="str">
        <f t="shared" si="19"/>
        <v>250005</v>
      </c>
      <c r="B1142" s="8" t="str">
        <f>"2561401013405"</f>
        <v>2561401013405</v>
      </c>
      <c r="C1142" s="8" t="s">
        <v>7</v>
      </c>
      <c r="D1142" s="9">
        <v>0</v>
      </c>
      <c r="E1142" s="8">
        <v>220</v>
      </c>
    </row>
    <row r="1143" s="3" customFormat="1" ht="18.75" spans="1:5">
      <c r="A1143" s="8" t="str">
        <f t="shared" si="19"/>
        <v>250005</v>
      </c>
      <c r="B1143" s="8" t="str">
        <f>"2561401013407"</f>
        <v>2561401013407</v>
      </c>
      <c r="C1143" s="8" t="s">
        <v>7</v>
      </c>
      <c r="D1143" s="9">
        <v>0</v>
      </c>
      <c r="E1143" s="8">
        <v>220</v>
      </c>
    </row>
    <row r="1144" s="3" customFormat="1" ht="18.75" spans="1:5">
      <c r="A1144" s="8" t="str">
        <f t="shared" si="19"/>
        <v>250005</v>
      </c>
      <c r="B1144" s="8" t="str">
        <f>"2561401013415"</f>
        <v>2561401013415</v>
      </c>
      <c r="C1144" s="8" t="s">
        <v>7</v>
      </c>
      <c r="D1144" s="9">
        <v>0</v>
      </c>
      <c r="E1144" s="8">
        <v>220</v>
      </c>
    </row>
    <row r="1145" s="3" customFormat="1" ht="18.75" spans="1:5">
      <c r="A1145" s="8" t="str">
        <f t="shared" si="19"/>
        <v>250005</v>
      </c>
      <c r="B1145" s="8" t="str">
        <f>"2561401013416"</f>
        <v>2561401013416</v>
      </c>
      <c r="C1145" s="8" t="s">
        <v>7</v>
      </c>
      <c r="D1145" s="9">
        <v>0</v>
      </c>
      <c r="E1145" s="8">
        <v>220</v>
      </c>
    </row>
    <row r="1146" s="3" customFormat="1" ht="18.75" spans="1:5">
      <c r="A1146" s="8" t="str">
        <f t="shared" si="19"/>
        <v>250005</v>
      </c>
      <c r="B1146" s="8" t="str">
        <f>"2561401013418"</f>
        <v>2561401013418</v>
      </c>
      <c r="C1146" s="8" t="s">
        <v>7</v>
      </c>
      <c r="D1146" s="9">
        <v>0</v>
      </c>
      <c r="E1146" s="8">
        <v>220</v>
      </c>
    </row>
    <row r="1147" s="3" customFormat="1" ht="18.75" spans="1:5">
      <c r="A1147" s="8" t="str">
        <f t="shared" si="19"/>
        <v>250005</v>
      </c>
      <c r="B1147" s="8" t="str">
        <f>"2561401013420"</f>
        <v>2561401013420</v>
      </c>
      <c r="C1147" s="8" t="s">
        <v>7</v>
      </c>
      <c r="D1147" s="9">
        <v>0</v>
      </c>
      <c r="E1147" s="8">
        <v>220</v>
      </c>
    </row>
    <row r="1148" s="3" customFormat="1" ht="18.75" spans="1:5">
      <c r="A1148" s="8" t="str">
        <f t="shared" si="19"/>
        <v>250005</v>
      </c>
      <c r="B1148" s="8" t="str">
        <f>"2561401013423"</f>
        <v>2561401013423</v>
      </c>
      <c r="C1148" s="8" t="s">
        <v>7</v>
      </c>
      <c r="D1148" s="9">
        <v>0</v>
      </c>
      <c r="E1148" s="8">
        <v>220</v>
      </c>
    </row>
    <row r="1149" s="3" customFormat="1" ht="18.75" spans="1:5">
      <c r="A1149" s="8" t="str">
        <f t="shared" si="19"/>
        <v>250005</v>
      </c>
      <c r="B1149" s="8" t="str">
        <f>"2561401013426"</f>
        <v>2561401013426</v>
      </c>
      <c r="C1149" s="8" t="s">
        <v>7</v>
      </c>
      <c r="D1149" s="9">
        <v>0</v>
      </c>
      <c r="E1149" s="8">
        <v>220</v>
      </c>
    </row>
    <row r="1150" s="3" customFormat="1" ht="18.75" spans="1:5">
      <c r="A1150" s="8" t="str">
        <f t="shared" si="19"/>
        <v>250005</v>
      </c>
      <c r="B1150" s="8" t="str">
        <f>"2561401013513"</f>
        <v>2561401013513</v>
      </c>
      <c r="C1150" s="8" t="s">
        <v>7</v>
      </c>
      <c r="D1150" s="9">
        <v>0</v>
      </c>
      <c r="E1150" s="8">
        <v>220</v>
      </c>
    </row>
    <row r="1151" s="3" customFormat="1" ht="18.75" spans="1:5">
      <c r="A1151" s="8" t="str">
        <f t="shared" si="19"/>
        <v>250005</v>
      </c>
      <c r="B1151" s="8" t="str">
        <f>"2561401013521"</f>
        <v>2561401013521</v>
      </c>
      <c r="C1151" s="8" t="s">
        <v>7</v>
      </c>
      <c r="D1151" s="9">
        <v>0</v>
      </c>
      <c r="E1151" s="8">
        <v>220</v>
      </c>
    </row>
    <row r="1152" s="3" customFormat="1" ht="18.75" spans="1:5">
      <c r="A1152" s="8" t="str">
        <f t="shared" si="19"/>
        <v>250005</v>
      </c>
      <c r="B1152" s="8" t="str">
        <f>"2561401013522"</f>
        <v>2561401013522</v>
      </c>
      <c r="C1152" s="8" t="s">
        <v>7</v>
      </c>
      <c r="D1152" s="9">
        <v>0</v>
      </c>
      <c r="E1152" s="8">
        <v>220</v>
      </c>
    </row>
    <row r="1153" s="3" customFormat="1" ht="18.75" spans="1:5">
      <c r="A1153" s="8" t="str">
        <f t="shared" si="19"/>
        <v>250005</v>
      </c>
      <c r="B1153" s="8" t="str">
        <f>"2561401013524"</f>
        <v>2561401013524</v>
      </c>
      <c r="C1153" s="8" t="s">
        <v>7</v>
      </c>
      <c r="D1153" s="9">
        <v>0</v>
      </c>
      <c r="E1153" s="8">
        <v>220</v>
      </c>
    </row>
    <row r="1154" s="3" customFormat="1" ht="18.75" spans="1:5">
      <c r="A1154" s="8" t="str">
        <f t="shared" si="19"/>
        <v>250005</v>
      </c>
      <c r="B1154" s="8" t="str">
        <f>"2561401013526"</f>
        <v>2561401013526</v>
      </c>
      <c r="C1154" s="8" t="s">
        <v>7</v>
      </c>
      <c r="D1154" s="9">
        <v>0</v>
      </c>
      <c r="E1154" s="8">
        <v>220</v>
      </c>
    </row>
    <row r="1155" s="3" customFormat="1" ht="18.75" spans="1:5">
      <c r="A1155" s="8" t="str">
        <f t="shared" si="19"/>
        <v>250005</v>
      </c>
      <c r="B1155" s="8" t="str">
        <f>"2561401013614"</f>
        <v>2561401013614</v>
      </c>
      <c r="C1155" s="8" t="s">
        <v>7</v>
      </c>
      <c r="D1155" s="9">
        <v>0</v>
      </c>
      <c r="E1155" s="8">
        <v>220</v>
      </c>
    </row>
    <row r="1156" s="3" customFormat="1" ht="18.75" spans="1:5">
      <c r="A1156" s="8" t="str">
        <f t="shared" si="19"/>
        <v>250005</v>
      </c>
      <c r="B1156" s="8" t="str">
        <f>"2561401013619"</f>
        <v>2561401013619</v>
      </c>
      <c r="C1156" s="8" t="s">
        <v>7</v>
      </c>
      <c r="D1156" s="9">
        <v>0</v>
      </c>
      <c r="E1156" s="8">
        <v>220</v>
      </c>
    </row>
    <row r="1157" s="3" customFormat="1" ht="18.75" spans="1:5">
      <c r="A1157" s="8" t="str">
        <f t="shared" si="19"/>
        <v>250005</v>
      </c>
      <c r="B1157" s="8" t="str">
        <f>"2561401013620"</f>
        <v>2561401013620</v>
      </c>
      <c r="C1157" s="8" t="s">
        <v>7</v>
      </c>
      <c r="D1157" s="9">
        <v>0</v>
      </c>
      <c r="E1157" s="8">
        <v>220</v>
      </c>
    </row>
    <row r="1158" s="3" customFormat="1" ht="18.75" spans="1:5">
      <c r="A1158" s="8" t="str">
        <f t="shared" si="19"/>
        <v>250005</v>
      </c>
      <c r="B1158" s="8" t="str">
        <f>"2561401013625"</f>
        <v>2561401013625</v>
      </c>
      <c r="C1158" s="8" t="s">
        <v>7</v>
      </c>
      <c r="D1158" s="9">
        <v>0</v>
      </c>
      <c r="E1158" s="8">
        <v>220</v>
      </c>
    </row>
    <row r="1159" s="3" customFormat="1" ht="18.75" spans="1:5">
      <c r="A1159" s="8" t="str">
        <f t="shared" ref="A1159:A1191" si="20">"250005"</f>
        <v>250005</v>
      </c>
      <c r="B1159" s="8" t="str">
        <f>"2561401013630"</f>
        <v>2561401013630</v>
      </c>
      <c r="C1159" s="8" t="s">
        <v>7</v>
      </c>
      <c r="D1159" s="9">
        <v>0</v>
      </c>
      <c r="E1159" s="8">
        <v>220</v>
      </c>
    </row>
    <row r="1160" s="3" customFormat="1" ht="18.75" spans="1:5">
      <c r="A1160" s="8" t="str">
        <f t="shared" si="20"/>
        <v>250005</v>
      </c>
      <c r="B1160" s="8" t="str">
        <f>"2561401013706"</f>
        <v>2561401013706</v>
      </c>
      <c r="C1160" s="8" t="s">
        <v>7</v>
      </c>
      <c r="D1160" s="9">
        <v>0</v>
      </c>
      <c r="E1160" s="8">
        <v>220</v>
      </c>
    </row>
    <row r="1161" s="3" customFormat="1" ht="18.75" spans="1:5">
      <c r="A1161" s="8" t="str">
        <f t="shared" si="20"/>
        <v>250005</v>
      </c>
      <c r="B1161" s="8" t="str">
        <f>"2561401013719"</f>
        <v>2561401013719</v>
      </c>
      <c r="C1161" s="8" t="s">
        <v>7</v>
      </c>
      <c r="D1161" s="9">
        <v>0</v>
      </c>
      <c r="E1161" s="8">
        <v>220</v>
      </c>
    </row>
    <row r="1162" s="3" customFormat="1" ht="18.75" spans="1:5">
      <c r="A1162" s="8" t="str">
        <f t="shared" si="20"/>
        <v>250005</v>
      </c>
      <c r="B1162" s="8" t="str">
        <f>"2561401013721"</f>
        <v>2561401013721</v>
      </c>
      <c r="C1162" s="8" t="s">
        <v>7</v>
      </c>
      <c r="D1162" s="9">
        <v>0</v>
      </c>
      <c r="E1162" s="8">
        <v>220</v>
      </c>
    </row>
    <row r="1163" s="3" customFormat="1" ht="18.75" spans="1:5">
      <c r="A1163" s="8" t="str">
        <f t="shared" si="20"/>
        <v>250005</v>
      </c>
      <c r="B1163" s="8" t="str">
        <f>"2561401013724"</f>
        <v>2561401013724</v>
      </c>
      <c r="C1163" s="8" t="s">
        <v>7</v>
      </c>
      <c r="D1163" s="9">
        <v>0</v>
      </c>
      <c r="E1163" s="8">
        <v>220</v>
      </c>
    </row>
    <row r="1164" s="3" customFormat="1" ht="18.75" spans="1:5">
      <c r="A1164" s="8" t="str">
        <f t="shared" si="20"/>
        <v>250005</v>
      </c>
      <c r="B1164" s="8" t="str">
        <f>"2561401013726"</f>
        <v>2561401013726</v>
      </c>
      <c r="C1164" s="8" t="s">
        <v>7</v>
      </c>
      <c r="D1164" s="9">
        <v>0</v>
      </c>
      <c r="E1164" s="8">
        <v>220</v>
      </c>
    </row>
    <row r="1165" s="3" customFormat="1" ht="18.75" spans="1:5">
      <c r="A1165" s="8" t="str">
        <f t="shared" si="20"/>
        <v>250005</v>
      </c>
      <c r="B1165" s="8" t="str">
        <f>"2561401013801"</f>
        <v>2561401013801</v>
      </c>
      <c r="C1165" s="8" t="s">
        <v>7</v>
      </c>
      <c r="D1165" s="9">
        <v>0</v>
      </c>
      <c r="E1165" s="8">
        <v>220</v>
      </c>
    </row>
    <row r="1166" s="3" customFormat="1" ht="18.75" spans="1:5">
      <c r="A1166" s="8" t="str">
        <f t="shared" si="20"/>
        <v>250005</v>
      </c>
      <c r="B1166" s="8" t="str">
        <f>"2561401013803"</f>
        <v>2561401013803</v>
      </c>
      <c r="C1166" s="8" t="s">
        <v>7</v>
      </c>
      <c r="D1166" s="9">
        <v>0</v>
      </c>
      <c r="E1166" s="8">
        <v>220</v>
      </c>
    </row>
    <row r="1167" s="3" customFormat="1" ht="18.75" spans="1:5">
      <c r="A1167" s="8" t="str">
        <f t="shared" si="20"/>
        <v>250005</v>
      </c>
      <c r="B1167" s="8" t="str">
        <f>"2561401013804"</f>
        <v>2561401013804</v>
      </c>
      <c r="C1167" s="8" t="s">
        <v>7</v>
      </c>
      <c r="D1167" s="9">
        <v>0</v>
      </c>
      <c r="E1167" s="8">
        <v>220</v>
      </c>
    </row>
    <row r="1168" s="3" customFormat="1" ht="18.75" spans="1:5">
      <c r="A1168" s="8" t="str">
        <f t="shared" si="20"/>
        <v>250005</v>
      </c>
      <c r="B1168" s="8" t="str">
        <f>"2561401013812"</f>
        <v>2561401013812</v>
      </c>
      <c r="C1168" s="8" t="s">
        <v>7</v>
      </c>
      <c r="D1168" s="9">
        <v>0</v>
      </c>
      <c r="E1168" s="8">
        <v>220</v>
      </c>
    </row>
    <row r="1169" s="3" customFormat="1" ht="18.75" spans="1:5">
      <c r="A1169" s="8" t="str">
        <f t="shared" si="20"/>
        <v>250005</v>
      </c>
      <c r="B1169" s="8" t="str">
        <f>"2561401013818"</f>
        <v>2561401013818</v>
      </c>
      <c r="C1169" s="8" t="s">
        <v>7</v>
      </c>
      <c r="D1169" s="9">
        <v>0</v>
      </c>
      <c r="E1169" s="8">
        <v>220</v>
      </c>
    </row>
    <row r="1170" s="3" customFormat="1" ht="18.75" spans="1:5">
      <c r="A1170" s="8" t="str">
        <f t="shared" si="20"/>
        <v>250005</v>
      </c>
      <c r="B1170" s="8" t="str">
        <f>"2561401013821"</f>
        <v>2561401013821</v>
      </c>
      <c r="C1170" s="8" t="s">
        <v>7</v>
      </c>
      <c r="D1170" s="9">
        <v>0</v>
      </c>
      <c r="E1170" s="8">
        <v>220</v>
      </c>
    </row>
    <row r="1171" s="3" customFormat="1" ht="18.75" spans="1:5">
      <c r="A1171" s="8" t="str">
        <f t="shared" si="20"/>
        <v>250005</v>
      </c>
      <c r="B1171" s="8" t="str">
        <f>"2561401013823"</f>
        <v>2561401013823</v>
      </c>
      <c r="C1171" s="8" t="s">
        <v>7</v>
      </c>
      <c r="D1171" s="9">
        <v>0</v>
      </c>
      <c r="E1171" s="8">
        <v>220</v>
      </c>
    </row>
    <row r="1172" s="3" customFormat="1" ht="18.75" spans="1:5">
      <c r="A1172" s="8" t="str">
        <f t="shared" si="20"/>
        <v>250005</v>
      </c>
      <c r="B1172" s="8" t="str">
        <f>"2561401013824"</f>
        <v>2561401013824</v>
      </c>
      <c r="C1172" s="8" t="s">
        <v>7</v>
      </c>
      <c r="D1172" s="9">
        <v>0</v>
      </c>
      <c r="E1172" s="8">
        <v>220</v>
      </c>
    </row>
    <row r="1173" s="3" customFormat="1" ht="18.75" spans="1:5">
      <c r="A1173" s="8" t="str">
        <f t="shared" si="20"/>
        <v>250005</v>
      </c>
      <c r="B1173" s="8" t="str">
        <f>"2561401013825"</f>
        <v>2561401013825</v>
      </c>
      <c r="C1173" s="8" t="s">
        <v>7</v>
      </c>
      <c r="D1173" s="9">
        <v>0</v>
      </c>
      <c r="E1173" s="8">
        <v>220</v>
      </c>
    </row>
    <row r="1174" s="3" customFormat="1" ht="18.75" spans="1:5">
      <c r="A1174" s="8" t="str">
        <f t="shared" si="20"/>
        <v>250005</v>
      </c>
      <c r="B1174" s="8" t="str">
        <f>"2561401013827"</f>
        <v>2561401013827</v>
      </c>
      <c r="C1174" s="8" t="s">
        <v>7</v>
      </c>
      <c r="D1174" s="9">
        <v>0</v>
      </c>
      <c r="E1174" s="8">
        <v>220</v>
      </c>
    </row>
    <row r="1175" s="3" customFormat="1" ht="18.75" spans="1:5">
      <c r="A1175" s="8" t="str">
        <f t="shared" si="20"/>
        <v>250005</v>
      </c>
      <c r="B1175" s="8" t="str">
        <f>"2561401013904"</f>
        <v>2561401013904</v>
      </c>
      <c r="C1175" s="8" t="s">
        <v>7</v>
      </c>
      <c r="D1175" s="9">
        <v>0</v>
      </c>
      <c r="E1175" s="8">
        <v>220</v>
      </c>
    </row>
    <row r="1176" s="3" customFormat="1" ht="18.75" spans="1:5">
      <c r="A1176" s="8" t="str">
        <f t="shared" si="20"/>
        <v>250005</v>
      </c>
      <c r="B1176" s="8" t="str">
        <f>"2561401013906"</f>
        <v>2561401013906</v>
      </c>
      <c r="C1176" s="8" t="s">
        <v>7</v>
      </c>
      <c r="D1176" s="9">
        <v>0</v>
      </c>
      <c r="E1176" s="8">
        <v>220</v>
      </c>
    </row>
    <row r="1177" s="3" customFormat="1" ht="18.75" spans="1:5">
      <c r="A1177" s="8" t="str">
        <f t="shared" si="20"/>
        <v>250005</v>
      </c>
      <c r="B1177" s="8" t="str">
        <f>"2561401013909"</f>
        <v>2561401013909</v>
      </c>
      <c r="C1177" s="8" t="s">
        <v>7</v>
      </c>
      <c r="D1177" s="9">
        <v>0</v>
      </c>
      <c r="E1177" s="8">
        <v>220</v>
      </c>
    </row>
    <row r="1178" s="3" customFormat="1" ht="18.75" spans="1:5">
      <c r="A1178" s="8" t="str">
        <f t="shared" si="20"/>
        <v>250005</v>
      </c>
      <c r="B1178" s="8" t="str">
        <f>"2561401013910"</f>
        <v>2561401013910</v>
      </c>
      <c r="C1178" s="8" t="s">
        <v>7</v>
      </c>
      <c r="D1178" s="9">
        <v>0</v>
      </c>
      <c r="E1178" s="8">
        <v>220</v>
      </c>
    </row>
    <row r="1179" s="3" customFormat="1" ht="18.75" spans="1:5">
      <c r="A1179" s="8" t="str">
        <f t="shared" si="20"/>
        <v>250005</v>
      </c>
      <c r="B1179" s="8" t="str">
        <f>"2561401013912"</f>
        <v>2561401013912</v>
      </c>
      <c r="C1179" s="8" t="s">
        <v>7</v>
      </c>
      <c r="D1179" s="9">
        <v>0</v>
      </c>
      <c r="E1179" s="8">
        <v>220</v>
      </c>
    </row>
    <row r="1180" s="3" customFormat="1" ht="18.75" spans="1:5">
      <c r="A1180" s="8" t="str">
        <f t="shared" si="20"/>
        <v>250005</v>
      </c>
      <c r="B1180" s="8" t="str">
        <f>"2561401013920"</f>
        <v>2561401013920</v>
      </c>
      <c r="C1180" s="8" t="s">
        <v>7</v>
      </c>
      <c r="D1180" s="9">
        <v>0</v>
      </c>
      <c r="E1180" s="8">
        <v>220</v>
      </c>
    </row>
    <row r="1181" s="3" customFormat="1" ht="18.75" spans="1:5">
      <c r="A1181" s="8" t="str">
        <f t="shared" si="20"/>
        <v>250005</v>
      </c>
      <c r="B1181" s="8" t="str">
        <f>"2561401013921"</f>
        <v>2561401013921</v>
      </c>
      <c r="C1181" s="8" t="s">
        <v>7</v>
      </c>
      <c r="D1181" s="9">
        <v>0</v>
      </c>
      <c r="E1181" s="8">
        <v>220</v>
      </c>
    </row>
    <row r="1182" s="3" customFormat="1" ht="18.75" spans="1:5">
      <c r="A1182" s="8" t="str">
        <f t="shared" si="20"/>
        <v>250005</v>
      </c>
      <c r="B1182" s="8" t="str">
        <f>"2561401013923"</f>
        <v>2561401013923</v>
      </c>
      <c r="C1182" s="8" t="s">
        <v>7</v>
      </c>
      <c r="D1182" s="9">
        <v>0</v>
      </c>
      <c r="E1182" s="8">
        <v>220</v>
      </c>
    </row>
    <row r="1183" s="3" customFormat="1" ht="18.75" spans="1:5">
      <c r="A1183" s="8" t="str">
        <f t="shared" si="20"/>
        <v>250005</v>
      </c>
      <c r="B1183" s="8" t="str">
        <f>"2561401013928"</f>
        <v>2561401013928</v>
      </c>
      <c r="C1183" s="8" t="s">
        <v>7</v>
      </c>
      <c r="D1183" s="9">
        <v>0</v>
      </c>
      <c r="E1183" s="8">
        <v>220</v>
      </c>
    </row>
    <row r="1184" s="3" customFormat="1" ht="18.75" spans="1:5">
      <c r="A1184" s="8" t="str">
        <f t="shared" si="20"/>
        <v>250005</v>
      </c>
      <c r="B1184" s="8" t="str">
        <f>"2561401014004"</f>
        <v>2561401014004</v>
      </c>
      <c r="C1184" s="8" t="s">
        <v>7</v>
      </c>
      <c r="D1184" s="9">
        <v>0</v>
      </c>
      <c r="E1184" s="8">
        <v>220</v>
      </c>
    </row>
    <row r="1185" s="3" customFormat="1" ht="18.75" spans="1:5">
      <c r="A1185" s="8" t="str">
        <f t="shared" si="20"/>
        <v>250005</v>
      </c>
      <c r="B1185" s="8" t="str">
        <f>"2561401014005"</f>
        <v>2561401014005</v>
      </c>
      <c r="C1185" s="8" t="s">
        <v>7</v>
      </c>
      <c r="D1185" s="9">
        <v>0</v>
      </c>
      <c r="E1185" s="8">
        <v>220</v>
      </c>
    </row>
    <row r="1186" s="3" customFormat="1" ht="18.75" spans="1:5">
      <c r="A1186" s="8" t="str">
        <f t="shared" si="20"/>
        <v>250005</v>
      </c>
      <c r="B1186" s="8" t="str">
        <f>"2561401014008"</f>
        <v>2561401014008</v>
      </c>
      <c r="C1186" s="8" t="s">
        <v>7</v>
      </c>
      <c r="D1186" s="9">
        <v>0</v>
      </c>
      <c r="E1186" s="8">
        <v>220</v>
      </c>
    </row>
    <row r="1187" s="3" customFormat="1" ht="18.75" spans="1:5">
      <c r="A1187" s="8" t="str">
        <f t="shared" si="20"/>
        <v>250005</v>
      </c>
      <c r="B1187" s="8" t="str">
        <f>"2561401014009"</f>
        <v>2561401014009</v>
      </c>
      <c r="C1187" s="8" t="s">
        <v>7</v>
      </c>
      <c r="D1187" s="9">
        <v>0</v>
      </c>
      <c r="E1187" s="8">
        <v>220</v>
      </c>
    </row>
    <row r="1188" s="3" customFormat="1" ht="18.75" spans="1:5">
      <c r="A1188" s="8" t="str">
        <f t="shared" si="20"/>
        <v>250005</v>
      </c>
      <c r="B1188" s="8" t="str">
        <f>"2561401014010"</f>
        <v>2561401014010</v>
      </c>
      <c r="C1188" s="8" t="s">
        <v>7</v>
      </c>
      <c r="D1188" s="9">
        <v>0</v>
      </c>
      <c r="E1188" s="8">
        <v>220</v>
      </c>
    </row>
    <row r="1189" s="3" customFormat="1" ht="18.75" spans="1:5">
      <c r="A1189" s="8" t="str">
        <f t="shared" si="20"/>
        <v>250005</v>
      </c>
      <c r="B1189" s="8" t="str">
        <f>"2561401014011"</f>
        <v>2561401014011</v>
      </c>
      <c r="C1189" s="8" t="s">
        <v>7</v>
      </c>
      <c r="D1189" s="9">
        <v>0</v>
      </c>
      <c r="E1189" s="8">
        <v>220</v>
      </c>
    </row>
    <row r="1190" s="3" customFormat="1" ht="18.75" spans="1:5">
      <c r="A1190" s="8" t="str">
        <f t="shared" si="20"/>
        <v>250005</v>
      </c>
      <c r="B1190" s="8" t="str">
        <f>"2561401014014"</f>
        <v>2561401014014</v>
      </c>
      <c r="C1190" s="8" t="s">
        <v>7</v>
      </c>
      <c r="D1190" s="9">
        <v>0</v>
      </c>
      <c r="E1190" s="8">
        <v>220</v>
      </c>
    </row>
    <row r="1191" s="3" customFormat="1" ht="18.75" spans="1:5">
      <c r="A1191" s="8" t="str">
        <f t="shared" si="20"/>
        <v>250005</v>
      </c>
      <c r="B1191" s="8" t="str">
        <f>"2561401014017"</f>
        <v>2561401014017</v>
      </c>
      <c r="C1191" s="8" t="s">
        <v>7</v>
      </c>
      <c r="D1191" s="9">
        <v>0</v>
      </c>
      <c r="E1191" s="8">
        <v>220</v>
      </c>
    </row>
    <row r="1192" s="3" customFormat="1" ht="18.75" spans="1:5">
      <c r="A1192" s="8" t="str">
        <f t="shared" ref="A1192:A1255" si="21">"250006"</f>
        <v>250006</v>
      </c>
      <c r="B1192" s="8" t="str">
        <f>"2561401014223"</f>
        <v>2561401014223</v>
      </c>
      <c r="C1192" s="8" t="s">
        <v>7</v>
      </c>
      <c r="D1192" s="9">
        <v>67.12</v>
      </c>
      <c r="E1192" s="8">
        <v>1</v>
      </c>
    </row>
    <row r="1193" s="3" customFormat="1" ht="18.75" spans="1:5">
      <c r="A1193" s="8" t="str">
        <f t="shared" si="21"/>
        <v>250006</v>
      </c>
      <c r="B1193" s="8" t="str">
        <f>"2561401014212"</f>
        <v>2561401014212</v>
      </c>
      <c r="C1193" s="8" t="s">
        <v>7</v>
      </c>
      <c r="D1193" s="9">
        <v>64.08</v>
      </c>
      <c r="E1193" s="8">
        <v>2</v>
      </c>
    </row>
    <row r="1194" s="3" customFormat="1" ht="18.75" spans="1:5">
      <c r="A1194" s="8" t="str">
        <f t="shared" si="21"/>
        <v>250006</v>
      </c>
      <c r="B1194" s="8" t="str">
        <f>"2561401014208"</f>
        <v>2561401014208</v>
      </c>
      <c r="C1194" s="8" t="s">
        <v>7</v>
      </c>
      <c r="D1194" s="9">
        <v>63.47</v>
      </c>
      <c r="E1194" s="8">
        <v>3</v>
      </c>
    </row>
    <row r="1195" s="3" customFormat="1" ht="18.75" spans="1:5">
      <c r="A1195" s="8" t="str">
        <f t="shared" si="21"/>
        <v>250006</v>
      </c>
      <c r="B1195" s="8" t="str">
        <f>"2561401014025"</f>
        <v>2561401014025</v>
      </c>
      <c r="C1195" s="8" t="s">
        <v>7</v>
      </c>
      <c r="D1195" s="9">
        <v>63.38</v>
      </c>
      <c r="E1195" s="8">
        <v>4</v>
      </c>
    </row>
    <row r="1196" s="3" customFormat="1" ht="18.75" spans="1:5">
      <c r="A1196" s="8" t="str">
        <f t="shared" si="21"/>
        <v>250006</v>
      </c>
      <c r="B1196" s="8" t="str">
        <f>"2561401014218"</f>
        <v>2561401014218</v>
      </c>
      <c r="C1196" s="8" t="s">
        <v>7</v>
      </c>
      <c r="D1196" s="9">
        <v>63.16</v>
      </c>
      <c r="E1196" s="8">
        <v>5</v>
      </c>
    </row>
    <row r="1197" s="3" customFormat="1" ht="18.75" spans="1:5">
      <c r="A1197" s="8" t="str">
        <f t="shared" si="21"/>
        <v>250006</v>
      </c>
      <c r="B1197" s="8" t="str">
        <f>"2561401014114"</f>
        <v>2561401014114</v>
      </c>
      <c r="C1197" s="8" t="s">
        <v>7</v>
      </c>
      <c r="D1197" s="9">
        <v>62.65</v>
      </c>
      <c r="E1197" s="8">
        <v>6</v>
      </c>
    </row>
    <row r="1198" s="3" customFormat="1" ht="18.75" spans="1:5">
      <c r="A1198" s="8" t="str">
        <f t="shared" si="21"/>
        <v>250006</v>
      </c>
      <c r="B1198" s="8" t="str">
        <f>"2561401014128"</f>
        <v>2561401014128</v>
      </c>
      <c r="C1198" s="8" t="s">
        <v>7</v>
      </c>
      <c r="D1198" s="9">
        <v>62.58</v>
      </c>
      <c r="E1198" s="8">
        <v>7</v>
      </c>
    </row>
    <row r="1199" s="3" customFormat="1" ht="18.75" spans="1:5">
      <c r="A1199" s="8" t="str">
        <f t="shared" si="21"/>
        <v>250006</v>
      </c>
      <c r="B1199" s="8" t="str">
        <f>"2561401014219"</f>
        <v>2561401014219</v>
      </c>
      <c r="C1199" s="8" t="s">
        <v>7</v>
      </c>
      <c r="D1199" s="9">
        <v>61.81</v>
      </c>
      <c r="E1199" s="8">
        <v>8</v>
      </c>
    </row>
    <row r="1200" s="3" customFormat="1" ht="18.75" spans="1:5">
      <c r="A1200" s="8" t="str">
        <f t="shared" si="21"/>
        <v>250006</v>
      </c>
      <c r="B1200" s="8" t="str">
        <f>"2561401014113"</f>
        <v>2561401014113</v>
      </c>
      <c r="C1200" s="8" t="s">
        <v>7</v>
      </c>
      <c r="D1200" s="9">
        <v>61.71</v>
      </c>
      <c r="E1200" s="8">
        <v>9</v>
      </c>
    </row>
    <row r="1201" s="3" customFormat="1" ht="18.75" spans="1:5">
      <c r="A1201" s="8" t="str">
        <f t="shared" si="21"/>
        <v>250006</v>
      </c>
      <c r="B1201" s="8" t="str">
        <f>"2561401014205"</f>
        <v>2561401014205</v>
      </c>
      <c r="C1201" s="8" t="s">
        <v>7</v>
      </c>
      <c r="D1201" s="9">
        <v>61.5</v>
      </c>
      <c r="E1201" s="8">
        <v>10</v>
      </c>
    </row>
    <row r="1202" s="3" customFormat="1" ht="18.75" spans="1:5">
      <c r="A1202" s="8" t="str">
        <f t="shared" si="21"/>
        <v>250006</v>
      </c>
      <c r="B1202" s="8" t="str">
        <f>"2561401014229"</f>
        <v>2561401014229</v>
      </c>
      <c r="C1202" s="8" t="s">
        <v>7</v>
      </c>
      <c r="D1202" s="9">
        <v>60.74</v>
      </c>
      <c r="E1202" s="8">
        <v>11</v>
      </c>
    </row>
    <row r="1203" s="3" customFormat="1" ht="18.75" spans="1:5">
      <c r="A1203" s="8" t="str">
        <f t="shared" si="21"/>
        <v>250006</v>
      </c>
      <c r="B1203" s="8" t="str">
        <f>"2561401014121"</f>
        <v>2561401014121</v>
      </c>
      <c r="C1203" s="8" t="s">
        <v>7</v>
      </c>
      <c r="D1203" s="9">
        <v>60.1</v>
      </c>
      <c r="E1203" s="8">
        <v>12</v>
      </c>
    </row>
    <row r="1204" s="3" customFormat="1" ht="18.75" spans="1:5">
      <c r="A1204" s="8" t="str">
        <f t="shared" si="21"/>
        <v>250006</v>
      </c>
      <c r="B1204" s="8" t="str">
        <f>"2561401014225"</f>
        <v>2561401014225</v>
      </c>
      <c r="C1204" s="8" t="s">
        <v>7</v>
      </c>
      <c r="D1204" s="9">
        <v>59.94</v>
      </c>
      <c r="E1204" s="8">
        <v>13</v>
      </c>
    </row>
    <row r="1205" s="3" customFormat="1" ht="18.75" spans="1:5">
      <c r="A1205" s="8" t="str">
        <f t="shared" si="21"/>
        <v>250006</v>
      </c>
      <c r="B1205" s="8" t="str">
        <f>"2561401014305"</f>
        <v>2561401014305</v>
      </c>
      <c r="C1205" s="8" t="s">
        <v>7</v>
      </c>
      <c r="D1205" s="9">
        <v>59.92</v>
      </c>
      <c r="E1205" s="8">
        <v>14</v>
      </c>
    </row>
    <row r="1206" s="3" customFormat="1" ht="18.75" spans="1:5">
      <c r="A1206" s="8" t="str">
        <f t="shared" si="21"/>
        <v>250006</v>
      </c>
      <c r="B1206" s="8" t="str">
        <f>"2561401014303"</f>
        <v>2561401014303</v>
      </c>
      <c r="C1206" s="8" t="s">
        <v>7</v>
      </c>
      <c r="D1206" s="9">
        <v>59.19</v>
      </c>
      <c r="E1206" s="8">
        <v>15</v>
      </c>
    </row>
    <row r="1207" s="3" customFormat="1" ht="18.75" spans="1:5">
      <c r="A1207" s="8" t="str">
        <f t="shared" si="21"/>
        <v>250006</v>
      </c>
      <c r="B1207" s="8" t="str">
        <f>"2561401014115"</f>
        <v>2561401014115</v>
      </c>
      <c r="C1207" s="8" t="s">
        <v>7</v>
      </c>
      <c r="D1207" s="9">
        <v>59</v>
      </c>
      <c r="E1207" s="8">
        <v>16</v>
      </c>
    </row>
    <row r="1208" s="3" customFormat="1" ht="18.75" spans="1:5">
      <c r="A1208" s="8" t="str">
        <f t="shared" si="21"/>
        <v>250006</v>
      </c>
      <c r="B1208" s="8" t="str">
        <f>"2561401014022"</f>
        <v>2561401014022</v>
      </c>
      <c r="C1208" s="8" t="s">
        <v>7</v>
      </c>
      <c r="D1208" s="9">
        <v>58.99</v>
      </c>
      <c r="E1208" s="8">
        <v>17</v>
      </c>
    </row>
    <row r="1209" s="3" customFormat="1" ht="18.75" spans="1:5">
      <c r="A1209" s="8" t="str">
        <f t="shared" si="21"/>
        <v>250006</v>
      </c>
      <c r="B1209" s="8" t="str">
        <f>"2561401014104"</f>
        <v>2561401014104</v>
      </c>
      <c r="C1209" s="8" t="s">
        <v>7</v>
      </c>
      <c r="D1209" s="9">
        <v>58.55</v>
      </c>
      <c r="E1209" s="8">
        <v>18</v>
      </c>
    </row>
    <row r="1210" s="3" customFormat="1" ht="18.75" spans="1:5">
      <c r="A1210" s="8" t="str">
        <f t="shared" si="21"/>
        <v>250006</v>
      </c>
      <c r="B1210" s="8" t="str">
        <f>"2561401014209"</f>
        <v>2561401014209</v>
      </c>
      <c r="C1210" s="8" t="s">
        <v>7</v>
      </c>
      <c r="D1210" s="9">
        <v>58.41</v>
      </c>
      <c r="E1210" s="8">
        <v>19</v>
      </c>
    </row>
    <row r="1211" s="3" customFormat="1" ht="18.75" spans="1:5">
      <c r="A1211" s="8" t="str">
        <f t="shared" si="21"/>
        <v>250006</v>
      </c>
      <c r="B1211" s="8" t="str">
        <f>"2561401014214"</f>
        <v>2561401014214</v>
      </c>
      <c r="C1211" s="8" t="s">
        <v>7</v>
      </c>
      <c r="D1211" s="9">
        <v>57.8</v>
      </c>
      <c r="E1211" s="8">
        <v>20</v>
      </c>
    </row>
    <row r="1212" s="3" customFormat="1" ht="18.75" spans="1:5">
      <c r="A1212" s="8" t="str">
        <f t="shared" si="21"/>
        <v>250006</v>
      </c>
      <c r="B1212" s="8" t="str">
        <f>"2561401014224"</f>
        <v>2561401014224</v>
      </c>
      <c r="C1212" s="8" t="s">
        <v>7</v>
      </c>
      <c r="D1212" s="9">
        <v>57.56</v>
      </c>
      <c r="E1212" s="8">
        <v>21</v>
      </c>
    </row>
    <row r="1213" s="3" customFormat="1" ht="18.75" spans="1:5">
      <c r="A1213" s="8" t="str">
        <f t="shared" si="21"/>
        <v>250006</v>
      </c>
      <c r="B1213" s="8" t="str">
        <f>"2561401014304"</f>
        <v>2561401014304</v>
      </c>
      <c r="C1213" s="8" t="s">
        <v>7</v>
      </c>
      <c r="D1213" s="9">
        <v>57.34</v>
      </c>
      <c r="E1213" s="8">
        <v>22</v>
      </c>
    </row>
    <row r="1214" s="3" customFormat="1" ht="18.75" spans="1:5">
      <c r="A1214" s="8" t="str">
        <f t="shared" si="21"/>
        <v>250006</v>
      </c>
      <c r="B1214" s="8" t="str">
        <f>"2561401014119"</f>
        <v>2561401014119</v>
      </c>
      <c r="C1214" s="8" t="s">
        <v>7</v>
      </c>
      <c r="D1214" s="9">
        <v>57.26</v>
      </c>
      <c r="E1214" s="8">
        <v>23</v>
      </c>
    </row>
    <row r="1215" s="3" customFormat="1" ht="18.75" spans="1:5">
      <c r="A1215" s="8" t="str">
        <f t="shared" si="21"/>
        <v>250006</v>
      </c>
      <c r="B1215" s="8" t="str">
        <f>"2561401014120"</f>
        <v>2561401014120</v>
      </c>
      <c r="C1215" s="8" t="s">
        <v>7</v>
      </c>
      <c r="D1215" s="9">
        <v>57.21</v>
      </c>
      <c r="E1215" s="8">
        <v>24</v>
      </c>
    </row>
    <row r="1216" s="3" customFormat="1" ht="18.75" spans="1:5">
      <c r="A1216" s="8" t="str">
        <f t="shared" si="21"/>
        <v>250006</v>
      </c>
      <c r="B1216" s="8" t="str">
        <f>"2561401014027"</f>
        <v>2561401014027</v>
      </c>
      <c r="C1216" s="8" t="s">
        <v>7</v>
      </c>
      <c r="D1216" s="9">
        <v>57.08</v>
      </c>
      <c r="E1216" s="8">
        <v>25</v>
      </c>
    </row>
    <row r="1217" s="3" customFormat="1" ht="18.75" spans="1:5">
      <c r="A1217" s="8" t="str">
        <f t="shared" si="21"/>
        <v>250006</v>
      </c>
      <c r="B1217" s="8" t="str">
        <f>"2561401014105"</f>
        <v>2561401014105</v>
      </c>
      <c r="C1217" s="8" t="s">
        <v>7</v>
      </c>
      <c r="D1217" s="9">
        <v>56.91</v>
      </c>
      <c r="E1217" s="8">
        <v>26</v>
      </c>
    </row>
    <row r="1218" s="3" customFormat="1" ht="18.75" spans="1:5">
      <c r="A1218" s="8" t="str">
        <f t="shared" si="21"/>
        <v>250006</v>
      </c>
      <c r="B1218" s="8" t="str">
        <f>"2561401014021"</f>
        <v>2561401014021</v>
      </c>
      <c r="C1218" s="8" t="s">
        <v>7</v>
      </c>
      <c r="D1218" s="9">
        <v>56.62</v>
      </c>
      <c r="E1218" s="8">
        <v>27</v>
      </c>
    </row>
    <row r="1219" s="3" customFormat="1" ht="18.75" spans="1:5">
      <c r="A1219" s="8" t="str">
        <f t="shared" si="21"/>
        <v>250006</v>
      </c>
      <c r="B1219" s="8" t="str">
        <f>"2561401014023"</f>
        <v>2561401014023</v>
      </c>
      <c r="C1219" s="8" t="s">
        <v>7</v>
      </c>
      <c r="D1219" s="9">
        <v>56.61</v>
      </c>
      <c r="E1219" s="8">
        <v>28</v>
      </c>
    </row>
    <row r="1220" s="3" customFormat="1" ht="18.75" spans="1:5">
      <c r="A1220" s="8" t="str">
        <f t="shared" si="21"/>
        <v>250006</v>
      </c>
      <c r="B1220" s="8" t="str">
        <f>"2561401014028"</f>
        <v>2561401014028</v>
      </c>
      <c r="C1220" s="8" t="s">
        <v>7</v>
      </c>
      <c r="D1220" s="9">
        <v>56.57</v>
      </c>
      <c r="E1220" s="8">
        <v>29</v>
      </c>
    </row>
    <row r="1221" s="3" customFormat="1" ht="18.75" spans="1:5">
      <c r="A1221" s="8" t="str">
        <f t="shared" si="21"/>
        <v>250006</v>
      </c>
      <c r="B1221" s="8" t="str">
        <f>"2561401014301"</f>
        <v>2561401014301</v>
      </c>
      <c r="C1221" s="8" t="s">
        <v>7</v>
      </c>
      <c r="D1221" s="9">
        <v>56.05</v>
      </c>
      <c r="E1221" s="8">
        <v>30</v>
      </c>
    </row>
    <row r="1222" s="3" customFormat="1" ht="18.75" spans="1:5">
      <c r="A1222" s="8" t="str">
        <f t="shared" si="21"/>
        <v>250006</v>
      </c>
      <c r="B1222" s="8" t="str">
        <f>"2561401014217"</f>
        <v>2561401014217</v>
      </c>
      <c r="C1222" s="8" t="s">
        <v>7</v>
      </c>
      <c r="D1222" s="9">
        <v>55.87</v>
      </c>
      <c r="E1222" s="8">
        <v>31</v>
      </c>
    </row>
    <row r="1223" s="3" customFormat="1" ht="18.75" spans="1:5">
      <c r="A1223" s="8" t="str">
        <f t="shared" si="21"/>
        <v>250006</v>
      </c>
      <c r="B1223" s="8" t="str">
        <f>"2561401014117"</f>
        <v>2561401014117</v>
      </c>
      <c r="C1223" s="8" t="s">
        <v>7</v>
      </c>
      <c r="D1223" s="9">
        <v>55.79</v>
      </c>
      <c r="E1223" s="8">
        <v>32</v>
      </c>
    </row>
    <row r="1224" s="3" customFormat="1" ht="18.75" spans="1:5">
      <c r="A1224" s="8" t="str">
        <f t="shared" si="21"/>
        <v>250006</v>
      </c>
      <c r="B1224" s="8" t="str">
        <f>"2561401014107"</f>
        <v>2561401014107</v>
      </c>
      <c r="C1224" s="8" t="s">
        <v>7</v>
      </c>
      <c r="D1224" s="9">
        <v>55.47</v>
      </c>
      <c r="E1224" s="8">
        <v>33</v>
      </c>
    </row>
    <row r="1225" s="3" customFormat="1" ht="18.75" spans="1:5">
      <c r="A1225" s="8" t="str">
        <f t="shared" si="21"/>
        <v>250006</v>
      </c>
      <c r="B1225" s="8" t="str">
        <f>"2561401014130"</f>
        <v>2561401014130</v>
      </c>
      <c r="C1225" s="8" t="s">
        <v>7</v>
      </c>
      <c r="D1225" s="9">
        <v>55.45</v>
      </c>
      <c r="E1225" s="8">
        <v>34</v>
      </c>
    </row>
    <row r="1226" s="3" customFormat="1" ht="18.75" spans="1:5">
      <c r="A1226" s="8" t="str">
        <f t="shared" si="21"/>
        <v>250006</v>
      </c>
      <c r="B1226" s="8" t="str">
        <f>"2561401014019"</f>
        <v>2561401014019</v>
      </c>
      <c r="C1226" s="8" t="s">
        <v>7</v>
      </c>
      <c r="D1226" s="9">
        <v>55.14</v>
      </c>
      <c r="E1226" s="8">
        <v>35</v>
      </c>
    </row>
    <row r="1227" s="3" customFormat="1" ht="18.75" spans="1:5">
      <c r="A1227" s="8" t="str">
        <f t="shared" si="21"/>
        <v>250006</v>
      </c>
      <c r="B1227" s="8" t="str">
        <f>"2561401014221"</f>
        <v>2561401014221</v>
      </c>
      <c r="C1227" s="8" t="s">
        <v>7</v>
      </c>
      <c r="D1227" s="9">
        <v>54.57</v>
      </c>
      <c r="E1227" s="8">
        <v>36</v>
      </c>
    </row>
    <row r="1228" s="3" customFormat="1" ht="18.75" spans="1:5">
      <c r="A1228" s="8" t="str">
        <f t="shared" si="21"/>
        <v>250006</v>
      </c>
      <c r="B1228" s="8" t="str">
        <f>"2561401014029"</f>
        <v>2561401014029</v>
      </c>
      <c r="C1228" s="8" t="s">
        <v>7</v>
      </c>
      <c r="D1228" s="9">
        <v>54.03</v>
      </c>
      <c r="E1228" s="8">
        <v>37</v>
      </c>
    </row>
    <row r="1229" s="3" customFormat="1" ht="18.75" spans="1:5">
      <c r="A1229" s="8" t="str">
        <f t="shared" si="21"/>
        <v>250006</v>
      </c>
      <c r="B1229" s="8" t="str">
        <f>"2561401014306"</f>
        <v>2561401014306</v>
      </c>
      <c r="C1229" s="8" t="s">
        <v>7</v>
      </c>
      <c r="D1229" s="9">
        <v>53.85</v>
      </c>
      <c r="E1229" s="8">
        <v>38</v>
      </c>
    </row>
    <row r="1230" s="3" customFormat="1" ht="18.75" spans="1:5">
      <c r="A1230" s="8" t="str">
        <f t="shared" si="21"/>
        <v>250006</v>
      </c>
      <c r="B1230" s="8" t="str">
        <f>"2561401014024"</f>
        <v>2561401014024</v>
      </c>
      <c r="C1230" s="8" t="s">
        <v>7</v>
      </c>
      <c r="D1230" s="9">
        <v>53.74</v>
      </c>
      <c r="E1230" s="8">
        <v>39</v>
      </c>
    </row>
    <row r="1231" s="3" customFormat="1" ht="18.75" spans="1:5">
      <c r="A1231" s="8" t="str">
        <f t="shared" si="21"/>
        <v>250006</v>
      </c>
      <c r="B1231" s="8" t="str">
        <f>"2561401014124"</f>
        <v>2561401014124</v>
      </c>
      <c r="C1231" s="8" t="s">
        <v>7</v>
      </c>
      <c r="D1231" s="9">
        <v>53.01</v>
      </c>
      <c r="E1231" s="8">
        <v>40</v>
      </c>
    </row>
    <row r="1232" s="3" customFormat="1" ht="18.75" spans="1:5">
      <c r="A1232" s="8" t="str">
        <f t="shared" si="21"/>
        <v>250006</v>
      </c>
      <c r="B1232" s="8" t="str">
        <f>"2561401014228"</f>
        <v>2561401014228</v>
      </c>
      <c r="C1232" s="8" t="s">
        <v>7</v>
      </c>
      <c r="D1232" s="9">
        <v>52.91</v>
      </c>
      <c r="E1232" s="8">
        <v>41</v>
      </c>
    </row>
    <row r="1233" s="3" customFormat="1" ht="18.75" spans="1:5">
      <c r="A1233" s="8" t="str">
        <f t="shared" si="21"/>
        <v>250006</v>
      </c>
      <c r="B1233" s="8" t="str">
        <f>"2561401014202"</f>
        <v>2561401014202</v>
      </c>
      <c r="C1233" s="8" t="s">
        <v>7</v>
      </c>
      <c r="D1233" s="9">
        <v>52.77</v>
      </c>
      <c r="E1233" s="8">
        <v>42</v>
      </c>
    </row>
    <row r="1234" s="3" customFormat="1" ht="18.75" spans="1:5">
      <c r="A1234" s="8" t="str">
        <f t="shared" si="21"/>
        <v>250006</v>
      </c>
      <c r="B1234" s="8" t="str">
        <f>"2561401014111"</f>
        <v>2561401014111</v>
      </c>
      <c r="C1234" s="8" t="s">
        <v>7</v>
      </c>
      <c r="D1234" s="9">
        <v>52.7</v>
      </c>
      <c r="E1234" s="8">
        <v>43</v>
      </c>
    </row>
    <row r="1235" s="3" customFormat="1" ht="18.75" spans="1:5">
      <c r="A1235" s="8" t="str">
        <f t="shared" si="21"/>
        <v>250006</v>
      </c>
      <c r="B1235" s="8" t="str">
        <f>"2561401014109"</f>
        <v>2561401014109</v>
      </c>
      <c r="C1235" s="8" t="s">
        <v>7</v>
      </c>
      <c r="D1235" s="9">
        <v>52.64</v>
      </c>
      <c r="E1235" s="8">
        <v>44</v>
      </c>
    </row>
    <row r="1236" s="3" customFormat="1" ht="18.75" spans="1:5">
      <c r="A1236" s="8" t="str">
        <f t="shared" si="21"/>
        <v>250006</v>
      </c>
      <c r="B1236" s="8" t="str">
        <f>"2561401014108"</f>
        <v>2561401014108</v>
      </c>
      <c r="C1236" s="8" t="s">
        <v>7</v>
      </c>
      <c r="D1236" s="9">
        <v>52.48</v>
      </c>
      <c r="E1236" s="8">
        <v>45</v>
      </c>
    </row>
    <row r="1237" s="3" customFormat="1" ht="18.75" spans="1:5">
      <c r="A1237" s="8" t="str">
        <f t="shared" si="21"/>
        <v>250006</v>
      </c>
      <c r="B1237" s="8" t="str">
        <f>"2561401014222"</f>
        <v>2561401014222</v>
      </c>
      <c r="C1237" s="8" t="s">
        <v>7</v>
      </c>
      <c r="D1237" s="9">
        <v>51.81</v>
      </c>
      <c r="E1237" s="8">
        <v>46</v>
      </c>
    </row>
    <row r="1238" s="3" customFormat="1" ht="18.75" spans="1:5">
      <c r="A1238" s="8" t="str">
        <f t="shared" si="21"/>
        <v>250006</v>
      </c>
      <c r="B1238" s="8" t="str">
        <f>"2561401014116"</f>
        <v>2561401014116</v>
      </c>
      <c r="C1238" s="8" t="s">
        <v>7</v>
      </c>
      <c r="D1238" s="9">
        <v>51.72</v>
      </c>
      <c r="E1238" s="8">
        <v>47</v>
      </c>
    </row>
    <row r="1239" s="3" customFormat="1" ht="18.75" spans="1:5">
      <c r="A1239" s="8" t="str">
        <f t="shared" si="21"/>
        <v>250006</v>
      </c>
      <c r="B1239" s="8" t="str">
        <f>"2561401014211"</f>
        <v>2561401014211</v>
      </c>
      <c r="C1239" s="8" t="s">
        <v>7</v>
      </c>
      <c r="D1239" s="9">
        <v>51.66</v>
      </c>
      <c r="E1239" s="8">
        <v>48</v>
      </c>
    </row>
    <row r="1240" s="3" customFormat="1" ht="18.75" spans="1:5">
      <c r="A1240" s="8" t="str">
        <f t="shared" si="21"/>
        <v>250006</v>
      </c>
      <c r="B1240" s="8" t="str">
        <f>"2561401014201"</f>
        <v>2561401014201</v>
      </c>
      <c r="C1240" s="8" t="s">
        <v>7</v>
      </c>
      <c r="D1240" s="9">
        <v>51.57</v>
      </c>
      <c r="E1240" s="8">
        <v>49</v>
      </c>
    </row>
    <row r="1241" s="3" customFormat="1" ht="18.75" spans="1:5">
      <c r="A1241" s="8" t="str">
        <f t="shared" si="21"/>
        <v>250006</v>
      </c>
      <c r="B1241" s="8" t="str">
        <f>"2561401014106"</f>
        <v>2561401014106</v>
      </c>
      <c r="C1241" s="8" t="s">
        <v>7</v>
      </c>
      <c r="D1241" s="9">
        <v>51.32</v>
      </c>
      <c r="E1241" s="8">
        <v>50</v>
      </c>
    </row>
    <row r="1242" s="3" customFormat="1" ht="18.75" spans="1:5">
      <c r="A1242" s="8" t="str">
        <f t="shared" si="21"/>
        <v>250006</v>
      </c>
      <c r="B1242" s="8" t="str">
        <f>"2561401014126"</f>
        <v>2561401014126</v>
      </c>
      <c r="C1242" s="8" t="s">
        <v>7</v>
      </c>
      <c r="D1242" s="9">
        <v>51.04</v>
      </c>
      <c r="E1242" s="8">
        <v>51</v>
      </c>
    </row>
    <row r="1243" s="3" customFormat="1" ht="18.75" spans="1:5">
      <c r="A1243" s="8" t="str">
        <f t="shared" si="21"/>
        <v>250006</v>
      </c>
      <c r="B1243" s="8" t="str">
        <f>"2561401014103"</f>
        <v>2561401014103</v>
      </c>
      <c r="C1243" s="8" t="s">
        <v>7</v>
      </c>
      <c r="D1243" s="9">
        <v>50.82</v>
      </c>
      <c r="E1243" s="8">
        <v>52</v>
      </c>
    </row>
    <row r="1244" s="3" customFormat="1" ht="18.75" spans="1:5">
      <c r="A1244" s="8" t="str">
        <f t="shared" si="21"/>
        <v>250006</v>
      </c>
      <c r="B1244" s="8" t="str">
        <f>"2561401014110"</f>
        <v>2561401014110</v>
      </c>
      <c r="C1244" s="8" t="s">
        <v>7</v>
      </c>
      <c r="D1244" s="9">
        <v>50.73</v>
      </c>
      <c r="E1244" s="8">
        <v>53</v>
      </c>
    </row>
    <row r="1245" s="3" customFormat="1" ht="18.75" spans="1:5">
      <c r="A1245" s="8" t="str">
        <f t="shared" si="21"/>
        <v>250006</v>
      </c>
      <c r="B1245" s="8" t="str">
        <f>"2561401014125"</f>
        <v>2561401014125</v>
      </c>
      <c r="C1245" s="8" t="s">
        <v>7</v>
      </c>
      <c r="D1245" s="9">
        <v>50.57</v>
      </c>
      <c r="E1245" s="8">
        <v>54</v>
      </c>
    </row>
    <row r="1246" s="3" customFormat="1" ht="18.75" spans="1:5">
      <c r="A1246" s="8" t="str">
        <f t="shared" si="21"/>
        <v>250006</v>
      </c>
      <c r="B1246" s="8" t="str">
        <f>"2561401014230"</f>
        <v>2561401014230</v>
      </c>
      <c r="C1246" s="8" t="s">
        <v>7</v>
      </c>
      <c r="D1246" s="9">
        <v>50.43</v>
      </c>
      <c r="E1246" s="8">
        <v>55</v>
      </c>
    </row>
    <row r="1247" s="3" customFormat="1" ht="18.75" spans="1:5">
      <c r="A1247" s="8" t="str">
        <f t="shared" si="21"/>
        <v>250006</v>
      </c>
      <c r="B1247" s="8" t="str">
        <f>"2561401014127"</f>
        <v>2561401014127</v>
      </c>
      <c r="C1247" s="8" t="s">
        <v>7</v>
      </c>
      <c r="D1247" s="9">
        <v>50.04</v>
      </c>
      <c r="E1247" s="8">
        <v>56</v>
      </c>
    </row>
    <row r="1248" s="3" customFormat="1" ht="18.75" spans="1:5">
      <c r="A1248" s="8" t="str">
        <f t="shared" si="21"/>
        <v>250006</v>
      </c>
      <c r="B1248" s="8" t="str">
        <f>"2561401014204"</f>
        <v>2561401014204</v>
      </c>
      <c r="C1248" s="8" t="s">
        <v>7</v>
      </c>
      <c r="D1248" s="9">
        <v>49.51</v>
      </c>
      <c r="E1248" s="8">
        <v>57</v>
      </c>
    </row>
    <row r="1249" s="3" customFormat="1" ht="18.75" spans="1:5">
      <c r="A1249" s="8" t="str">
        <f t="shared" si="21"/>
        <v>250006</v>
      </c>
      <c r="B1249" s="8" t="str">
        <f>"2561401014302"</f>
        <v>2561401014302</v>
      </c>
      <c r="C1249" s="8" t="s">
        <v>7</v>
      </c>
      <c r="D1249" s="9">
        <v>49.46</v>
      </c>
      <c r="E1249" s="8">
        <v>58</v>
      </c>
    </row>
    <row r="1250" s="3" customFormat="1" ht="18.75" spans="1:5">
      <c r="A1250" s="8" t="str">
        <f t="shared" si="21"/>
        <v>250006</v>
      </c>
      <c r="B1250" s="8" t="str">
        <f>"2561401014123"</f>
        <v>2561401014123</v>
      </c>
      <c r="C1250" s="8" t="s">
        <v>7</v>
      </c>
      <c r="D1250" s="9">
        <v>49.44</v>
      </c>
      <c r="E1250" s="8">
        <v>59</v>
      </c>
    </row>
    <row r="1251" s="3" customFormat="1" ht="18.75" spans="1:5">
      <c r="A1251" s="8" t="str">
        <f t="shared" si="21"/>
        <v>250006</v>
      </c>
      <c r="B1251" s="8" t="str">
        <f>"2561401014216"</f>
        <v>2561401014216</v>
      </c>
      <c r="C1251" s="8" t="s">
        <v>7</v>
      </c>
      <c r="D1251" s="9">
        <v>48.78</v>
      </c>
      <c r="E1251" s="8">
        <v>60</v>
      </c>
    </row>
    <row r="1252" s="3" customFormat="1" ht="18.75" spans="1:5">
      <c r="A1252" s="8" t="str">
        <f t="shared" si="21"/>
        <v>250006</v>
      </c>
      <c r="B1252" s="8" t="str">
        <f>"2561401014226"</f>
        <v>2561401014226</v>
      </c>
      <c r="C1252" s="8" t="s">
        <v>7</v>
      </c>
      <c r="D1252" s="9">
        <v>48.24</v>
      </c>
      <c r="E1252" s="8">
        <v>61</v>
      </c>
    </row>
    <row r="1253" s="3" customFormat="1" ht="18.75" spans="1:5">
      <c r="A1253" s="8" t="str">
        <f t="shared" si="21"/>
        <v>250006</v>
      </c>
      <c r="B1253" s="8" t="str">
        <f>"2561401014026"</f>
        <v>2561401014026</v>
      </c>
      <c r="C1253" s="8" t="s">
        <v>7</v>
      </c>
      <c r="D1253" s="9">
        <v>48.13</v>
      </c>
      <c r="E1253" s="8">
        <v>62</v>
      </c>
    </row>
    <row r="1254" s="3" customFormat="1" ht="18.75" spans="1:5">
      <c r="A1254" s="8" t="str">
        <f t="shared" si="21"/>
        <v>250006</v>
      </c>
      <c r="B1254" s="8" t="str">
        <f>"2561401014020"</f>
        <v>2561401014020</v>
      </c>
      <c r="C1254" s="8" t="s">
        <v>7</v>
      </c>
      <c r="D1254" s="9">
        <v>47.95</v>
      </c>
      <c r="E1254" s="8">
        <v>63</v>
      </c>
    </row>
    <row r="1255" s="3" customFormat="1" ht="18.75" spans="1:5">
      <c r="A1255" s="8" t="str">
        <f t="shared" si="21"/>
        <v>250006</v>
      </c>
      <c r="B1255" s="8" t="str">
        <f>"2561401014118"</f>
        <v>2561401014118</v>
      </c>
      <c r="C1255" s="8" t="s">
        <v>7</v>
      </c>
      <c r="D1255" s="9">
        <v>47.84</v>
      </c>
      <c r="E1255" s="8">
        <v>64</v>
      </c>
    </row>
    <row r="1256" s="3" customFormat="1" ht="18.75" spans="1:5">
      <c r="A1256" s="8" t="str">
        <f t="shared" ref="A1256:A1269" si="22">"250006"</f>
        <v>250006</v>
      </c>
      <c r="B1256" s="8" t="str">
        <f>"2561401014101"</f>
        <v>2561401014101</v>
      </c>
      <c r="C1256" s="8" t="s">
        <v>7</v>
      </c>
      <c r="D1256" s="9">
        <v>44.38</v>
      </c>
      <c r="E1256" s="8">
        <v>65</v>
      </c>
    </row>
    <row r="1257" s="3" customFormat="1" ht="18.75" spans="1:5">
      <c r="A1257" s="8" t="str">
        <f t="shared" si="22"/>
        <v>250006</v>
      </c>
      <c r="B1257" s="8" t="str">
        <f>"2561401014122"</f>
        <v>2561401014122</v>
      </c>
      <c r="C1257" s="8" t="s">
        <v>7</v>
      </c>
      <c r="D1257" s="9">
        <v>43.85</v>
      </c>
      <c r="E1257" s="8">
        <v>66</v>
      </c>
    </row>
    <row r="1258" s="3" customFormat="1" ht="18.75" spans="1:5">
      <c r="A1258" s="8" t="str">
        <f t="shared" si="22"/>
        <v>250006</v>
      </c>
      <c r="B1258" s="8" t="str">
        <f>"2561401014030"</f>
        <v>2561401014030</v>
      </c>
      <c r="C1258" s="8" t="s">
        <v>7</v>
      </c>
      <c r="D1258" s="9">
        <v>42.36</v>
      </c>
      <c r="E1258" s="8">
        <v>67</v>
      </c>
    </row>
    <row r="1259" s="3" customFormat="1" ht="18.75" spans="1:5">
      <c r="A1259" s="8" t="str">
        <f t="shared" si="22"/>
        <v>250006</v>
      </c>
      <c r="B1259" s="8" t="str">
        <f>"2561401014129"</f>
        <v>2561401014129</v>
      </c>
      <c r="C1259" s="8" t="s">
        <v>7</v>
      </c>
      <c r="D1259" s="9">
        <v>41.51</v>
      </c>
      <c r="E1259" s="8">
        <v>68</v>
      </c>
    </row>
    <row r="1260" s="3" customFormat="1" ht="18.75" spans="1:5">
      <c r="A1260" s="8" t="str">
        <f t="shared" si="22"/>
        <v>250006</v>
      </c>
      <c r="B1260" s="8" t="str">
        <f>"2561401014227"</f>
        <v>2561401014227</v>
      </c>
      <c r="C1260" s="8" t="s">
        <v>7</v>
      </c>
      <c r="D1260" s="9">
        <v>36.9</v>
      </c>
      <c r="E1260" s="8">
        <v>69</v>
      </c>
    </row>
    <row r="1261" s="3" customFormat="1" ht="18.75" spans="1:5">
      <c r="A1261" s="8" t="str">
        <f t="shared" si="22"/>
        <v>250006</v>
      </c>
      <c r="B1261" s="8" t="str">
        <f>"2561401014112"</f>
        <v>2561401014112</v>
      </c>
      <c r="C1261" s="8" t="s">
        <v>7</v>
      </c>
      <c r="D1261" s="9">
        <v>31.74</v>
      </c>
      <c r="E1261" s="8">
        <v>70</v>
      </c>
    </row>
    <row r="1262" s="3" customFormat="1" ht="18.75" spans="1:5">
      <c r="A1262" s="8" t="str">
        <f t="shared" si="22"/>
        <v>250006</v>
      </c>
      <c r="B1262" s="8" t="str">
        <f>"2561401014102"</f>
        <v>2561401014102</v>
      </c>
      <c r="C1262" s="8" t="s">
        <v>7</v>
      </c>
      <c r="D1262" s="9">
        <v>0</v>
      </c>
      <c r="E1262" s="8">
        <v>71</v>
      </c>
    </row>
    <row r="1263" s="3" customFormat="1" ht="18.75" spans="1:5">
      <c r="A1263" s="8" t="str">
        <f t="shared" si="22"/>
        <v>250006</v>
      </c>
      <c r="B1263" s="8" t="str">
        <f>"2561401014203"</f>
        <v>2561401014203</v>
      </c>
      <c r="C1263" s="8" t="s">
        <v>7</v>
      </c>
      <c r="D1263" s="9">
        <v>0</v>
      </c>
      <c r="E1263" s="8">
        <v>71</v>
      </c>
    </row>
    <row r="1264" s="3" customFormat="1" ht="18.75" spans="1:5">
      <c r="A1264" s="8" t="str">
        <f t="shared" si="22"/>
        <v>250006</v>
      </c>
      <c r="B1264" s="8" t="str">
        <f>"2561401014206"</f>
        <v>2561401014206</v>
      </c>
      <c r="C1264" s="8" t="s">
        <v>7</v>
      </c>
      <c r="D1264" s="9">
        <v>0</v>
      </c>
      <c r="E1264" s="8">
        <v>71</v>
      </c>
    </row>
    <row r="1265" s="3" customFormat="1" ht="18.75" spans="1:5">
      <c r="A1265" s="8" t="str">
        <f t="shared" si="22"/>
        <v>250006</v>
      </c>
      <c r="B1265" s="8" t="str">
        <f>"2561401014207"</f>
        <v>2561401014207</v>
      </c>
      <c r="C1265" s="8" t="s">
        <v>7</v>
      </c>
      <c r="D1265" s="9">
        <v>0</v>
      </c>
      <c r="E1265" s="8">
        <v>71</v>
      </c>
    </row>
    <row r="1266" s="3" customFormat="1" ht="18.75" spans="1:5">
      <c r="A1266" s="8" t="str">
        <f t="shared" si="22"/>
        <v>250006</v>
      </c>
      <c r="B1266" s="8" t="str">
        <f>"2561401014210"</f>
        <v>2561401014210</v>
      </c>
      <c r="C1266" s="8" t="s">
        <v>7</v>
      </c>
      <c r="D1266" s="9">
        <v>0</v>
      </c>
      <c r="E1266" s="8">
        <v>71</v>
      </c>
    </row>
    <row r="1267" s="3" customFormat="1" ht="18.75" spans="1:5">
      <c r="A1267" s="8" t="str">
        <f t="shared" si="22"/>
        <v>250006</v>
      </c>
      <c r="B1267" s="8" t="str">
        <f>"2561401014213"</f>
        <v>2561401014213</v>
      </c>
      <c r="C1267" s="8" t="s">
        <v>7</v>
      </c>
      <c r="D1267" s="9">
        <v>0</v>
      </c>
      <c r="E1267" s="8">
        <v>71</v>
      </c>
    </row>
    <row r="1268" s="3" customFormat="1" ht="18.75" spans="1:5">
      <c r="A1268" s="8" t="str">
        <f t="shared" si="22"/>
        <v>250006</v>
      </c>
      <c r="B1268" s="8" t="str">
        <f>"2561401014215"</f>
        <v>2561401014215</v>
      </c>
      <c r="C1268" s="8" t="s">
        <v>7</v>
      </c>
      <c r="D1268" s="9">
        <v>0</v>
      </c>
      <c r="E1268" s="8">
        <v>71</v>
      </c>
    </row>
    <row r="1269" s="3" customFormat="1" ht="18.75" spans="1:5">
      <c r="A1269" s="8" t="str">
        <f t="shared" si="22"/>
        <v>250006</v>
      </c>
      <c r="B1269" s="8" t="str">
        <f>"2561401014220"</f>
        <v>2561401014220</v>
      </c>
      <c r="C1269" s="8" t="s">
        <v>7</v>
      </c>
      <c r="D1269" s="9">
        <v>0</v>
      </c>
      <c r="E1269" s="8">
        <v>71</v>
      </c>
    </row>
    <row r="1270" s="3" customFormat="1" ht="18.75" spans="1:5">
      <c r="A1270" s="8" t="str">
        <f t="shared" ref="A1270:A1333" si="23">"250007"</f>
        <v>250007</v>
      </c>
      <c r="B1270" s="8" t="str">
        <f>"2561401015007"</f>
        <v>2561401015007</v>
      </c>
      <c r="C1270" s="8" t="s">
        <v>7</v>
      </c>
      <c r="D1270" s="9">
        <v>75.12</v>
      </c>
      <c r="E1270" s="8">
        <v>1</v>
      </c>
    </row>
    <row r="1271" s="3" customFormat="1" ht="18.75" spans="1:5">
      <c r="A1271" s="8" t="str">
        <f t="shared" si="23"/>
        <v>250007</v>
      </c>
      <c r="B1271" s="8" t="str">
        <f>"2561401014609"</f>
        <v>2561401014609</v>
      </c>
      <c r="C1271" s="8" t="s">
        <v>7</v>
      </c>
      <c r="D1271" s="9">
        <v>74.43</v>
      </c>
      <c r="E1271" s="8">
        <v>2</v>
      </c>
    </row>
    <row r="1272" s="3" customFormat="1" ht="18.75" spans="1:5">
      <c r="A1272" s="8" t="str">
        <f t="shared" si="23"/>
        <v>250007</v>
      </c>
      <c r="B1272" s="8" t="str">
        <f>"2561401015029"</f>
        <v>2561401015029</v>
      </c>
      <c r="C1272" s="8" t="s">
        <v>7</v>
      </c>
      <c r="D1272" s="9">
        <v>70.38</v>
      </c>
      <c r="E1272" s="8">
        <v>3</v>
      </c>
    </row>
    <row r="1273" s="3" customFormat="1" ht="18.75" spans="1:5">
      <c r="A1273" s="8" t="str">
        <f t="shared" si="23"/>
        <v>250007</v>
      </c>
      <c r="B1273" s="8" t="str">
        <f>"2561401014910"</f>
        <v>2561401014910</v>
      </c>
      <c r="C1273" s="8" t="s">
        <v>7</v>
      </c>
      <c r="D1273" s="9">
        <v>69.61</v>
      </c>
      <c r="E1273" s="8">
        <v>4</v>
      </c>
    </row>
    <row r="1274" s="3" customFormat="1" ht="18.75" spans="1:5">
      <c r="A1274" s="8" t="str">
        <f t="shared" si="23"/>
        <v>250007</v>
      </c>
      <c r="B1274" s="8" t="str">
        <f>"2561401015119"</f>
        <v>2561401015119</v>
      </c>
      <c r="C1274" s="8" t="s">
        <v>7</v>
      </c>
      <c r="D1274" s="9">
        <v>69.52</v>
      </c>
      <c r="E1274" s="8">
        <v>5</v>
      </c>
    </row>
    <row r="1275" s="3" customFormat="1" ht="18.75" spans="1:5">
      <c r="A1275" s="8" t="str">
        <f t="shared" si="23"/>
        <v>250007</v>
      </c>
      <c r="B1275" s="8" t="str">
        <f>"2561401014623"</f>
        <v>2561401014623</v>
      </c>
      <c r="C1275" s="8" t="s">
        <v>7</v>
      </c>
      <c r="D1275" s="9">
        <v>67.81</v>
      </c>
      <c r="E1275" s="8">
        <v>6</v>
      </c>
    </row>
    <row r="1276" s="3" customFormat="1" ht="18.75" spans="1:5">
      <c r="A1276" s="8" t="str">
        <f t="shared" si="23"/>
        <v>250007</v>
      </c>
      <c r="B1276" s="8" t="str">
        <f>"2561401014617"</f>
        <v>2561401014617</v>
      </c>
      <c r="C1276" s="8" t="s">
        <v>7</v>
      </c>
      <c r="D1276" s="9">
        <v>67.23</v>
      </c>
      <c r="E1276" s="8">
        <v>7</v>
      </c>
    </row>
    <row r="1277" s="3" customFormat="1" ht="18.75" spans="1:5">
      <c r="A1277" s="8" t="str">
        <f t="shared" si="23"/>
        <v>250007</v>
      </c>
      <c r="B1277" s="8" t="str">
        <f>"2561401014308"</f>
        <v>2561401014308</v>
      </c>
      <c r="C1277" s="8" t="s">
        <v>7</v>
      </c>
      <c r="D1277" s="9">
        <v>67.12</v>
      </c>
      <c r="E1277" s="8">
        <v>8</v>
      </c>
    </row>
    <row r="1278" s="3" customFormat="1" ht="18.75" spans="1:5">
      <c r="A1278" s="8" t="str">
        <f t="shared" si="23"/>
        <v>250007</v>
      </c>
      <c r="B1278" s="8" t="str">
        <f>"2561401014820"</f>
        <v>2561401014820</v>
      </c>
      <c r="C1278" s="8" t="s">
        <v>7</v>
      </c>
      <c r="D1278" s="9">
        <v>67.09</v>
      </c>
      <c r="E1278" s="8">
        <v>9</v>
      </c>
    </row>
    <row r="1279" s="3" customFormat="1" ht="18.75" spans="1:5">
      <c r="A1279" s="8" t="str">
        <f t="shared" si="23"/>
        <v>250007</v>
      </c>
      <c r="B1279" s="8" t="str">
        <f>"2561401014919"</f>
        <v>2561401014919</v>
      </c>
      <c r="C1279" s="8" t="s">
        <v>7</v>
      </c>
      <c r="D1279" s="9">
        <v>66.81</v>
      </c>
      <c r="E1279" s="8">
        <v>10</v>
      </c>
    </row>
    <row r="1280" s="3" customFormat="1" ht="18.75" spans="1:5">
      <c r="A1280" s="8" t="str">
        <f t="shared" si="23"/>
        <v>250007</v>
      </c>
      <c r="B1280" s="8" t="str">
        <f>"2561401014925"</f>
        <v>2561401014925</v>
      </c>
      <c r="C1280" s="8" t="s">
        <v>7</v>
      </c>
      <c r="D1280" s="9">
        <v>66.66</v>
      </c>
      <c r="E1280" s="8">
        <v>11</v>
      </c>
    </row>
    <row r="1281" s="3" customFormat="1" ht="18.75" spans="1:5">
      <c r="A1281" s="8" t="str">
        <f t="shared" si="23"/>
        <v>250007</v>
      </c>
      <c r="B1281" s="8" t="str">
        <f>"2561401014315"</f>
        <v>2561401014315</v>
      </c>
      <c r="C1281" s="8" t="s">
        <v>7</v>
      </c>
      <c r="D1281" s="9">
        <v>66.33</v>
      </c>
      <c r="E1281" s="8">
        <v>12</v>
      </c>
    </row>
    <row r="1282" s="3" customFormat="1" ht="18.75" spans="1:5">
      <c r="A1282" s="8" t="str">
        <f t="shared" si="23"/>
        <v>250007</v>
      </c>
      <c r="B1282" s="8" t="str">
        <f>"2561401015209"</f>
        <v>2561401015209</v>
      </c>
      <c r="C1282" s="8" t="s">
        <v>7</v>
      </c>
      <c r="D1282" s="9">
        <v>66.29</v>
      </c>
      <c r="E1282" s="8">
        <v>13</v>
      </c>
    </row>
    <row r="1283" s="3" customFormat="1" ht="18.75" spans="1:5">
      <c r="A1283" s="8" t="str">
        <f t="shared" si="23"/>
        <v>250007</v>
      </c>
      <c r="B1283" s="8" t="str">
        <f>"2561401015210"</f>
        <v>2561401015210</v>
      </c>
      <c r="C1283" s="8" t="s">
        <v>7</v>
      </c>
      <c r="D1283" s="9">
        <v>66.28</v>
      </c>
      <c r="E1283" s="8">
        <v>14</v>
      </c>
    </row>
    <row r="1284" s="3" customFormat="1" ht="18.75" spans="1:5">
      <c r="A1284" s="8" t="str">
        <f t="shared" si="23"/>
        <v>250007</v>
      </c>
      <c r="B1284" s="8" t="str">
        <f>"2561401014622"</f>
        <v>2561401014622</v>
      </c>
      <c r="C1284" s="8" t="s">
        <v>7</v>
      </c>
      <c r="D1284" s="9">
        <v>66.26</v>
      </c>
      <c r="E1284" s="8">
        <v>15</v>
      </c>
    </row>
    <row r="1285" s="3" customFormat="1" ht="18.75" spans="1:5">
      <c r="A1285" s="8" t="str">
        <f t="shared" si="23"/>
        <v>250007</v>
      </c>
      <c r="B1285" s="8" t="str">
        <f>"2561401014709"</f>
        <v>2561401014709</v>
      </c>
      <c r="C1285" s="8" t="s">
        <v>7</v>
      </c>
      <c r="D1285" s="9">
        <v>66.09</v>
      </c>
      <c r="E1285" s="8">
        <v>16</v>
      </c>
    </row>
    <row r="1286" s="3" customFormat="1" ht="18.75" spans="1:5">
      <c r="A1286" s="8" t="str">
        <f t="shared" si="23"/>
        <v>250007</v>
      </c>
      <c r="B1286" s="8" t="str">
        <f>"2561401014810"</f>
        <v>2561401014810</v>
      </c>
      <c r="C1286" s="8" t="s">
        <v>7</v>
      </c>
      <c r="D1286" s="9">
        <v>65.92</v>
      </c>
      <c r="E1286" s="8">
        <v>17</v>
      </c>
    </row>
    <row r="1287" s="3" customFormat="1" ht="18.75" spans="1:5">
      <c r="A1287" s="8" t="str">
        <f t="shared" si="23"/>
        <v>250007</v>
      </c>
      <c r="B1287" s="8" t="str">
        <f>"2561401015102"</f>
        <v>2561401015102</v>
      </c>
      <c r="C1287" s="8" t="s">
        <v>7</v>
      </c>
      <c r="D1287" s="9">
        <v>65.81</v>
      </c>
      <c r="E1287" s="8">
        <v>18</v>
      </c>
    </row>
    <row r="1288" s="3" customFormat="1" ht="18.75" spans="1:5">
      <c r="A1288" s="8" t="str">
        <f t="shared" si="23"/>
        <v>250007</v>
      </c>
      <c r="B1288" s="8" t="str">
        <f>"2561401014924"</f>
        <v>2561401014924</v>
      </c>
      <c r="C1288" s="8" t="s">
        <v>7</v>
      </c>
      <c r="D1288" s="9">
        <v>64.76</v>
      </c>
      <c r="E1288" s="8">
        <v>19</v>
      </c>
    </row>
    <row r="1289" s="3" customFormat="1" ht="18.75" spans="1:5">
      <c r="A1289" s="8" t="str">
        <f t="shared" si="23"/>
        <v>250007</v>
      </c>
      <c r="B1289" s="8" t="str">
        <f>"2561401014929"</f>
        <v>2561401014929</v>
      </c>
      <c r="C1289" s="8" t="s">
        <v>7</v>
      </c>
      <c r="D1289" s="9">
        <v>63.82</v>
      </c>
      <c r="E1289" s="8">
        <v>20</v>
      </c>
    </row>
    <row r="1290" s="3" customFormat="1" ht="18.75" spans="1:5">
      <c r="A1290" s="8" t="str">
        <f t="shared" si="23"/>
        <v>250007</v>
      </c>
      <c r="B1290" s="8" t="str">
        <f>"2561401014607"</f>
        <v>2561401014607</v>
      </c>
      <c r="C1290" s="8" t="s">
        <v>7</v>
      </c>
      <c r="D1290" s="9">
        <v>63.81</v>
      </c>
      <c r="E1290" s="8">
        <v>21</v>
      </c>
    </row>
    <row r="1291" s="3" customFormat="1" ht="18.75" spans="1:5">
      <c r="A1291" s="8" t="str">
        <f t="shared" si="23"/>
        <v>250007</v>
      </c>
      <c r="B1291" s="8" t="str">
        <f>"2561401014430"</f>
        <v>2561401014430</v>
      </c>
      <c r="C1291" s="8" t="s">
        <v>7</v>
      </c>
      <c r="D1291" s="9">
        <v>63.79</v>
      </c>
      <c r="E1291" s="8">
        <v>22</v>
      </c>
    </row>
    <row r="1292" s="3" customFormat="1" ht="18.75" spans="1:5">
      <c r="A1292" s="8" t="str">
        <f t="shared" si="23"/>
        <v>250007</v>
      </c>
      <c r="B1292" s="8" t="str">
        <f>"2561401014928"</f>
        <v>2561401014928</v>
      </c>
      <c r="C1292" s="8" t="s">
        <v>7</v>
      </c>
      <c r="D1292" s="9">
        <v>63.71</v>
      </c>
      <c r="E1292" s="8">
        <v>23</v>
      </c>
    </row>
    <row r="1293" s="3" customFormat="1" ht="18.75" spans="1:5">
      <c r="A1293" s="8" t="str">
        <f t="shared" si="23"/>
        <v>250007</v>
      </c>
      <c r="B1293" s="8" t="str">
        <f>"2561401014921"</f>
        <v>2561401014921</v>
      </c>
      <c r="C1293" s="8" t="s">
        <v>7</v>
      </c>
      <c r="D1293" s="9">
        <v>63.7</v>
      </c>
      <c r="E1293" s="8">
        <v>24</v>
      </c>
    </row>
    <row r="1294" s="3" customFormat="1" ht="18.75" spans="1:5">
      <c r="A1294" s="8" t="str">
        <f t="shared" si="23"/>
        <v>250007</v>
      </c>
      <c r="B1294" s="8" t="str">
        <f>"2561401015128"</f>
        <v>2561401015128</v>
      </c>
      <c r="C1294" s="8" t="s">
        <v>7</v>
      </c>
      <c r="D1294" s="9">
        <v>63.34</v>
      </c>
      <c r="E1294" s="8">
        <v>25</v>
      </c>
    </row>
    <row r="1295" s="3" customFormat="1" ht="18.75" spans="1:5">
      <c r="A1295" s="8" t="str">
        <f t="shared" si="23"/>
        <v>250007</v>
      </c>
      <c r="B1295" s="8" t="str">
        <f>"2561401015010"</f>
        <v>2561401015010</v>
      </c>
      <c r="C1295" s="8" t="s">
        <v>7</v>
      </c>
      <c r="D1295" s="9">
        <v>63.23</v>
      </c>
      <c r="E1295" s="8">
        <v>26</v>
      </c>
    </row>
    <row r="1296" s="3" customFormat="1" ht="18.75" spans="1:5">
      <c r="A1296" s="8" t="str">
        <f t="shared" si="23"/>
        <v>250007</v>
      </c>
      <c r="B1296" s="8" t="str">
        <f>"2561401014613"</f>
        <v>2561401014613</v>
      </c>
      <c r="C1296" s="8" t="s">
        <v>7</v>
      </c>
      <c r="D1296" s="9">
        <v>63.14</v>
      </c>
      <c r="E1296" s="8">
        <v>27</v>
      </c>
    </row>
    <row r="1297" s="3" customFormat="1" ht="18.75" spans="1:5">
      <c r="A1297" s="8" t="str">
        <f t="shared" si="23"/>
        <v>250007</v>
      </c>
      <c r="B1297" s="8" t="str">
        <f>"2561401015016"</f>
        <v>2561401015016</v>
      </c>
      <c r="C1297" s="8" t="s">
        <v>7</v>
      </c>
      <c r="D1297" s="9">
        <v>63.14</v>
      </c>
      <c r="E1297" s="8">
        <v>27</v>
      </c>
    </row>
    <row r="1298" s="3" customFormat="1" ht="18.75" spans="1:5">
      <c r="A1298" s="8" t="str">
        <f t="shared" si="23"/>
        <v>250007</v>
      </c>
      <c r="B1298" s="8" t="str">
        <f>"2561401014517"</f>
        <v>2561401014517</v>
      </c>
      <c r="C1298" s="8" t="s">
        <v>7</v>
      </c>
      <c r="D1298" s="9">
        <v>62.75</v>
      </c>
      <c r="E1298" s="8">
        <v>29</v>
      </c>
    </row>
    <row r="1299" s="3" customFormat="1" ht="18.75" spans="1:5">
      <c r="A1299" s="8" t="str">
        <f t="shared" si="23"/>
        <v>250007</v>
      </c>
      <c r="B1299" s="8" t="str">
        <f>"2561401014414"</f>
        <v>2561401014414</v>
      </c>
      <c r="C1299" s="8" t="s">
        <v>7</v>
      </c>
      <c r="D1299" s="9">
        <v>62.3</v>
      </c>
      <c r="E1299" s="8">
        <v>30</v>
      </c>
    </row>
    <row r="1300" s="3" customFormat="1" ht="18.75" spans="1:5">
      <c r="A1300" s="8" t="str">
        <f t="shared" si="23"/>
        <v>250007</v>
      </c>
      <c r="B1300" s="8" t="str">
        <f>"2561401015113"</f>
        <v>2561401015113</v>
      </c>
      <c r="C1300" s="8" t="s">
        <v>7</v>
      </c>
      <c r="D1300" s="9">
        <v>62.09</v>
      </c>
      <c r="E1300" s="8">
        <v>31</v>
      </c>
    </row>
    <row r="1301" s="3" customFormat="1" ht="18.75" spans="1:5">
      <c r="A1301" s="8" t="str">
        <f t="shared" si="23"/>
        <v>250007</v>
      </c>
      <c r="B1301" s="8" t="str">
        <f>"2561401014422"</f>
        <v>2561401014422</v>
      </c>
      <c r="C1301" s="8" t="s">
        <v>7</v>
      </c>
      <c r="D1301" s="9">
        <v>61.95</v>
      </c>
      <c r="E1301" s="8">
        <v>32</v>
      </c>
    </row>
    <row r="1302" s="3" customFormat="1" ht="18.75" spans="1:5">
      <c r="A1302" s="8" t="str">
        <f t="shared" si="23"/>
        <v>250007</v>
      </c>
      <c r="B1302" s="8" t="str">
        <f>"2561401014509"</f>
        <v>2561401014509</v>
      </c>
      <c r="C1302" s="8" t="s">
        <v>7</v>
      </c>
      <c r="D1302" s="9">
        <v>61.36</v>
      </c>
      <c r="E1302" s="8">
        <v>33</v>
      </c>
    </row>
    <row r="1303" s="3" customFormat="1" ht="18.75" spans="1:5">
      <c r="A1303" s="8" t="str">
        <f t="shared" si="23"/>
        <v>250007</v>
      </c>
      <c r="B1303" s="8" t="str">
        <f>"2561401014604"</f>
        <v>2561401014604</v>
      </c>
      <c r="C1303" s="8" t="s">
        <v>7</v>
      </c>
      <c r="D1303" s="9">
        <v>61.17</v>
      </c>
      <c r="E1303" s="8">
        <v>34</v>
      </c>
    </row>
    <row r="1304" s="3" customFormat="1" ht="18.75" spans="1:5">
      <c r="A1304" s="8" t="str">
        <f t="shared" si="23"/>
        <v>250007</v>
      </c>
      <c r="B1304" s="8" t="str">
        <f>"2561401014508"</f>
        <v>2561401014508</v>
      </c>
      <c r="C1304" s="8" t="s">
        <v>7</v>
      </c>
      <c r="D1304" s="9">
        <v>61.13</v>
      </c>
      <c r="E1304" s="8">
        <v>35</v>
      </c>
    </row>
    <row r="1305" s="3" customFormat="1" ht="18.75" spans="1:5">
      <c r="A1305" s="8" t="str">
        <f t="shared" si="23"/>
        <v>250007</v>
      </c>
      <c r="B1305" s="8" t="str">
        <f>"2561401014717"</f>
        <v>2561401014717</v>
      </c>
      <c r="C1305" s="8" t="s">
        <v>7</v>
      </c>
      <c r="D1305" s="9">
        <v>61.08</v>
      </c>
      <c r="E1305" s="8">
        <v>36</v>
      </c>
    </row>
    <row r="1306" s="3" customFormat="1" ht="18.75" spans="1:5">
      <c r="A1306" s="8" t="str">
        <f t="shared" si="23"/>
        <v>250007</v>
      </c>
      <c r="B1306" s="8" t="str">
        <f>"2561401014319"</f>
        <v>2561401014319</v>
      </c>
      <c r="C1306" s="8" t="s">
        <v>7</v>
      </c>
      <c r="D1306" s="9">
        <v>60.71</v>
      </c>
      <c r="E1306" s="8">
        <v>37</v>
      </c>
    </row>
    <row r="1307" s="3" customFormat="1" ht="18.75" spans="1:5">
      <c r="A1307" s="8" t="str">
        <f t="shared" si="23"/>
        <v>250007</v>
      </c>
      <c r="B1307" s="8" t="str">
        <f>"2561401014502"</f>
        <v>2561401014502</v>
      </c>
      <c r="C1307" s="8" t="s">
        <v>7</v>
      </c>
      <c r="D1307" s="9">
        <v>60.61</v>
      </c>
      <c r="E1307" s="8">
        <v>38</v>
      </c>
    </row>
    <row r="1308" s="3" customFormat="1" ht="18.75" spans="1:5">
      <c r="A1308" s="8" t="str">
        <f t="shared" si="23"/>
        <v>250007</v>
      </c>
      <c r="B1308" s="8" t="str">
        <f>"2561401014914"</f>
        <v>2561401014914</v>
      </c>
      <c r="C1308" s="8" t="s">
        <v>7</v>
      </c>
      <c r="D1308" s="9">
        <v>60.55</v>
      </c>
      <c r="E1308" s="8">
        <v>39</v>
      </c>
    </row>
    <row r="1309" s="3" customFormat="1" ht="18.75" spans="1:5">
      <c r="A1309" s="8" t="str">
        <f t="shared" si="23"/>
        <v>250007</v>
      </c>
      <c r="B1309" s="8" t="str">
        <f>"2561401015202"</f>
        <v>2561401015202</v>
      </c>
      <c r="C1309" s="8" t="s">
        <v>7</v>
      </c>
      <c r="D1309" s="9">
        <v>60.51</v>
      </c>
      <c r="E1309" s="8">
        <v>40</v>
      </c>
    </row>
    <row r="1310" s="3" customFormat="1" ht="18.75" spans="1:5">
      <c r="A1310" s="8" t="str">
        <f t="shared" si="23"/>
        <v>250007</v>
      </c>
      <c r="B1310" s="8" t="str">
        <f>"2561401014626"</f>
        <v>2561401014626</v>
      </c>
      <c r="C1310" s="8" t="s">
        <v>7</v>
      </c>
      <c r="D1310" s="9">
        <v>60.33</v>
      </c>
      <c r="E1310" s="8">
        <v>41</v>
      </c>
    </row>
    <row r="1311" s="3" customFormat="1" ht="18.75" spans="1:5">
      <c r="A1311" s="8" t="str">
        <f t="shared" si="23"/>
        <v>250007</v>
      </c>
      <c r="B1311" s="8" t="str">
        <f>"2561401014702"</f>
        <v>2561401014702</v>
      </c>
      <c r="C1311" s="8" t="s">
        <v>7</v>
      </c>
      <c r="D1311" s="9">
        <v>60.21</v>
      </c>
      <c r="E1311" s="8">
        <v>42</v>
      </c>
    </row>
    <row r="1312" s="3" customFormat="1" ht="18.75" spans="1:5">
      <c r="A1312" s="8" t="str">
        <f t="shared" si="23"/>
        <v>250007</v>
      </c>
      <c r="B1312" s="8" t="str">
        <f>"2561401014712"</f>
        <v>2561401014712</v>
      </c>
      <c r="C1312" s="8" t="s">
        <v>7</v>
      </c>
      <c r="D1312" s="9">
        <v>59.98</v>
      </c>
      <c r="E1312" s="8">
        <v>43</v>
      </c>
    </row>
    <row r="1313" s="3" customFormat="1" ht="18.75" spans="1:5">
      <c r="A1313" s="8" t="str">
        <f t="shared" si="23"/>
        <v>250007</v>
      </c>
      <c r="B1313" s="8" t="str">
        <f>"2561401014628"</f>
        <v>2561401014628</v>
      </c>
      <c r="C1313" s="8" t="s">
        <v>7</v>
      </c>
      <c r="D1313" s="9">
        <v>59.95</v>
      </c>
      <c r="E1313" s="8">
        <v>44</v>
      </c>
    </row>
    <row r="1314" s="3" customFormat="1" ht="18.75" spans="1:5">
      <c r="A1314" s="8" t="str">
        <f t="shared" si="23"/>
        <v>250007</v>
      </c>
      <c r="B1314" s="8" t="str">
        <f>"2561401014922"</f>
        <v>2561401014922</v>
      </c>
      <c r="C1314" s="8" t="s">
        <v>7</v>
      </c>
      <c r="D1314" s="9">
        <v>59.73</v>
      </c>
      <c r="E1314" s="8">
        <v>45</v>
      </c>
    </row>
    <row r="1315" s="3" customFormat="1" ht="18.75" spans="1:5">
      <c r="A1315" s="8" t="str">
        <f t="shared" si="23"/>
        <v>250007</v>
      </c>
      <c r="B1315" s="8" t="str">
        <f>"2561401014822"</f>
        <v>2561401014822</v>
      </c>
      <c r="C1315" s="8" t="s">
        <v>7</v>
      </c>
      <c r="D1315" s="9">
        <v>59.63</v>
      </c>
      <c r="E1315" s="8">
        <v>46</v>
      </c>
    </row>
    <row r="1316" s="3" customFormat="1" ht="18.75" spans="1:5">
      <c r="A1316" s="8" t="str">
        <f t="shared" si="23"/>
        <v>250007</v>
      </c>
      <c r="B1316" s="8" t="str">
        <f>"2561401015026"</f>
        <v>2561401015026</v>
      </c>
      <c r="C1316" s="8" t="s">
        <v>7</v>
      </c>
      <c r="D1316" s="9">
        <v>59.58</v>
      </c>
      <c r="E1316" s="8">
        <v>47</v>
      </c>
    </row>
    <row r="1317" s="3" customFormat="1" ht="18.75" spans="1:5">
      <c r="A1317" s="8" t="str">
        <f t="shared" si="23"/>
        <v>250007</v>
      </c>
      <c r="B1317" s="8" t="str">
        <f>"2561401014602"</f>
        <v>2561401014602</v>
      </c>
      <c r="C1317" s="8" t="s">
        <v>7</v>
      </c>
      <c r="D1317" s="9">
        <v>59.5</v>
      </c>
      <c r="E1317" s="8">
        <v>48</v>
      </c>
    </row>
    <row r="1318" s="3" customFormat="1" ht="18.75" spans="1:5">
      <c r="A1318" s="8" t="str">
        <f t="shared" si="23"/>
        <v>250007</v>
      </c>
      <c r="B1318" s="8" t="str">
        <f>"2561401014429"</f>
        <v>2561401014429</v>
      </c>
      <c r="C1318" s="8" t="s">
        <v>7</v>
      </c>
      <c r="D1318" s="9">
        <v>59.2</v>
      </c>
      <c r="E1318" s="8">
        <v>49</v>
      </c>
    </row>
    <row r="1319" s="3" customFormat="1" ht="18.75" spans="1:5">
      <c r="A1319" s="8" t="str">
        <f t="shared" si="23"/>
        <v>250007</v>
      </c>
      <c r="B1319" s="8" t="str">
        <f>"2561401015103"</f>
        <v>2561401015103</v>
      </c>
      <c r="C1319" s="8" t="s">
        <v>7</v>
      </c>
      <c r="D1319" s="9">
        <v>59.19</v>
      </c>
      <c r="E1319" s="8">
        <v>50</v>
      </c>
    </row>
    <row r="1320" s="3" customFormat="1" ht="18.75" spans="1:5">
      <c r="A1320" s="8" t="str">
        <f t="shared" si="23"/>
        <v>250007</v>
      </c>
      <c r="B1320" s="8" t="str">
        <f>"2561401014610"</f>
        <v>2561401014610</v>
      </c>
      <c r="C1320" s="8" t="s">
        <v>7</v>
      </c>
      <c r="D1320" s="9">
        <v>59.14</v>
      </c>
      <c r="E1320" s="8">
        <v>51</v>
      </c>
    </row>
    <row r="1321" s="3" customFormat="1" ht="18.75" spans="1:5">
      <c r="A1321" s="8" t="str">
        <f t="shared" si="23"/>
        <v>250007</v>
      </c>
      <c r="B1321" s="8" t="str">
        <f>"2561401014706"</f>
        <v>2561401014706</v>
      </c>
      <c r="C1321" s="8" t="s">
        <v>7</v>
      </c>
      <c r="D1321" s="9">
        <v>59.08</v>
      </c>
      <c r="E1321" s="8">
        <v>52</v>
      </c>
    </row>
    <row r="1322" s="3" customFormat="1" ht="18.75" spans="1:5">
      <c r="A1322" s="8" t="str">
        <f t="shared" si="23"/>
        <v>250007</v>
      </c>
      <c r="B1322" s="8" t="str">
        <f>"2561401014909"</f>
        <v>2561401014909</v>
      </c>
      <c r="C1322" s="8" t="s">
        <v>7</v>
      </c>
      <c r="D1322" s="9">
        <v>58.9</v>
      </c>
      <c r="E1322" s="8">
        <v>53</v>
      </c>
    </row>
    <row r="1323" s="3" customFormat="1" ht="18.75" spans="1:5">
      <c r="A1323" s="8" t="str">
        <f t="shared" si="23"/>
        <v>250007</v>
      </c>
      <c r="B1323" s="8" t="str">
        <f>"2561401015011"</f>
        <v>2561401015011</v>
      </c>
      <c r="C1323" s="8" t="s">
        <v>7</v>
      </c>
      <c r="D1323" s="9">
        <v>58.81</v>
      </c>
      <c r="E1323" s="8">
        <v>54</v>
      </c>
    </row>
    <row r="1324" s="3" customFormat="1" ht="18.75" spans="1:5">
      <c r="A1324" s="8" t="str">
        <f t="shared" si="23"/>
        <v>250007</v>
      </c>
      <c r="B1324" s="8" t="str">
        <f>"2561401015001"</f>
        <v>2561401015001</v>
      </c>
      <c r="C1324" s="8" t="s">
        <v>7</v>
      </c>
      <c r="D1324" s="9">
        <v>58.8</v>
      </c>
      <c r="E1324" s="8">
        <v>55</v>
      </c>
    </row>
    <row r="1325" s="3" customFormat="1" ht="18.75" spans="1:5">
      <c r="A1325" s="8" t="str">
        <f t="shared" si="23"/>
        <v>250007</v>
      </c>
      <c r="B1325" s="8" t="str">
        <f>"2561401014812"</f>
        <v>2561401014812</v>
      </c>
      <c r="C1325" s="8" t="s">
        <v>7</v>
      </c>
      <c r="D1325" s="9">
        <v>58.78</v>
      </c>
      <c r="E1325" s="8">
        <v>56</v>
      </c>
    </row>
    <row r="1326" s="3" customFormat="1" ht="18.75" spans="1:5">
      <c r="A1326" s="8" t="str">
        <f t="shared" si="23"/>
        <v>250007</v>
      </c>
      <c r="B1326" s="8" t="str">
        <f>"2561401014630"</f>
        <v>2561401014630</v>
      </c>
      <c r="C1326" s="8" t="s">
        <v>7</v>
      </c>
      <c r="D1326" s="9">
        <v>58.62</v>
      </c>
      <c r="E1326" s="8">
        <v>57</v>
      </c>
    </row>
    <row r="1327" s="3" customFormat="1" ht="18.75" spans="1:5">
      <c r="A1327" s="8" t="str">
        <f t="shared" si="23"/>
        <v>250007</v>
      </c>
      <c r="B1327" s="8" t="str">
        <f>"2561401014410"</f>
        <v>2561401014410</v>
      </c>
      <c r="C1327" s="8" t="s">
        <v>7</v>
      </c>
      <c r="D1327" s="9">
        <v>58.57</v>
      </c>
      <c r="E1327" s="8">
        <v>58</v>
      </c>
    </row>
    <row r="1328" s="3" customFormat="1" ht="18.75" spans="1:5">
      <c r="A1328" s="8" t="str">
        <f t="shared" si="23"/>
        <v>250007</v>
      </c>
      <c r="B1328" s="8" t="str">
        <f>"2561401014629"</f>
        <v>2561401014629</v>
      </c>
      <c r="C1328" s="8" t="s">
        <v>7</v>
      </c>
      <c r="D1328" s="9">
        <v>58.48</v>
      </c>
      <c r="E1328" s="8">
        <v>59</v>
      </c>
    </row>
    <row r="1329" s="3" customFormat="1" ht="18.75" spans="1:5">
      <c r="A1329" s="8" t="str">
        <f t="shared" si="23"/>
        <v>250007</v>
      </c>
      <c r="B1329" s="8" t="str">
        <f>"2561401015027"</f>
        <v>2561401015027</v>
      </c>
      <c r="C1329" s="8" t="s">
        <v>7</v>
      </c>
      <c r="D1329" s="9">
        <v>58.42</v>
      </c>
      <c r="E1329" s="8">
        <v>60</v>
      </c>
    </row>
    <row r="1330" s="3" customFormat="1" ht="18.75" spans="1:5">
      <c r="A1330" s="8" t="str">
        <f t="shared" si="23"/>
        <v>250007</v>
      </c>
      <c r="B1330" s="8" t="str">
        <f>"2561401014426"</f>
        <v>2561401014426</v>
      </c>
      <c r="C1330" s="8" t="s">
        <v>7</v>
      </c>
      <c r="D1330" s="9">
        <v>58.38</v>
      </c>
      <c r="E1330" s="8">
        <v>61</v>
      </c>
    </row>
    <row r="1331" s="3" customFormat="1" ht="18.75" spans="1:5">
      <c r="A1331" s="8" t="str">
        <f t="shared" si="23"/>
        <v>250007</v>
      </c>
      <c r="B1331" s="8" t="str">
        <f>"2561401014826"</f>
        <v>2561401014826</v>
      </c>
      <c r="C1331" s="8" t="s">
        <v>7</v>
      </c>
      <c r="D1331" s="9">
        <v>58.32</v>
      </c>
      <c r="E1331" s="8">
        <v>62</v>
      </c>
    </row>
    <row r="1332" s="3" customFormat="1" ht="18.75" spans="1:5">
      <c r="A1332" s="8" t="str">
        <f t="shared" si="23"/>
        <v>250007</v>
      </c>
      <c r="B1332" s="8" t="str">
        <f>"2561401014707"</f>
        <v>2561401014707</v>
      </c>
      <c r="C1332" s="8" t="s">
        <v>7</v>
      </c>
      <c r="D1332" s="9">
        <v>58.31</v>
      </c>
      <c r="E1332" s="8">
        <v>63</v>
      </c>
    </row>
    <row r="1333" s="3" customFormat="1" ht="18.75" spans="1:5">
      <c r="A1333" s="8" t="str">
        <f t="shared" si="23"/>
        <v>250007</v>
      </c>
      <c r="B1333" s="8" t="str">
        <f>"2561401015112"</f>
        <v>2561401015112</v>
      </c>
      <c r="C1333" s="8" t="s">
        <v>7</v>
      </c>
      <c r="D1333" s="9">
        <v>58.31</v>
      </c>
      <c r="E1333" s="8">
        <v>63</v>
      </c>
    </row>
    <row r="1334" s="3" customFormat="1" ht="18.75" spans="1:5">
      <c r="A1334" s="8" t="str">
        <f t="shared" ref="A1334:A1397" si="24">"250007"</f>
        <v>250007</v>
      </c>
      <c r="B1334" s="8" t="str">
        <f>"2561401014918"</f>
        <v>2561401014918</v>
      </c>
      <c r="C1334" s="8" t="s">
        <v>7</v>
      </c>
      <c r="D1334" s="9">
        <v>58.02</v>
      </c>
      <c r="E1334" s="8">
        <v>65</v>
      </c>
    </row>
    <row r="1335" s="3" customFormat="1" ht="18.75" spans="1:5">
      <c r="A1335" s="8" t="str">
        <f t="shared" si="24"/>
        <v>250007</v>
      </c>
      <c r="B1335" s="8" t="str">
        <f>"2561401014504"</f>
        <v>2561401014504</v>
      </c>
      <c r="C1335" s="8" t="s">
        <v>7</v>
      </c>
      <c r="D1335" s="9">
        <v>57.97</v>
      </c>
      <c r="E1335" s="8">
        <v>66</v>
      </c>
    </row>
    <row r="1336" s="3" customFormat="1" ht="18.75" spans="1:5">
      <c r="A1336" s="8" t="str">
        <f t="shared" si="24"/>
        <v>250007</v>
      </c>
      <c r="B1336" s="8" t="str">
        <f>"2561401015109"</f>
        <v>2561401015109</v>
      </c>
      <c r="C1336" s="8" t="s">
        <v>7</v>
      </c>
      <c r="D1336" s="9">
        <v>57.97</v>
      </c>
      <c r="E1336" s="8">
        <v>66</v>
      </c>
    </row>
    <row r="1337" s="3" customFormat="1" ht="18.75" spans="1:5">
      <c r="A1337" s="8" t="str">
        <f t="shared" si="24"/>
        <v>250007</v>
      </c>
      <c r="B1337" s="8" t="str">
        <f>"2561401015201"</f>
        <v>2561401015201</v>
      </c>
      <c r="C1337" s="8" t="s">
        <v>7</v>
      </c>
      <c r="D1337" s="9">
        <v>57.97</v>
      </c>
      <c r="E1337" s="8">
        <v>66</v>
      </c>
    </row>
    <row r="1338" s="3" customFormat="1" ht="18.75" spans="1:5">
      <c r="A1338" s="8" t="str">
        <f t="shared" si="24"/>
        <v>250007</v>
      </c>
      <c r="B1338" s="8" t="str">
        <f>"2561401015008"</f>
        <v>2561401015008</v>
      </c>
      <c r="C1338" s="8" t="s">
        <v>7</v>
      </c>
      <c r="D1338" s="9">
        <v>57.73</v>
      </c>
      <c r="E1338" s="8">
        <v>69</v>
      </c>
    </row>
    <row r="1339" s="3" customFormat="1" ht="18.75" spans="1:5">
      <c r="A1339" s="8" t="str">
        <f t="shared" si="24"/>
        <v>250007</v>
      </c>
      <c r="B1339" s="8" t="str">
        <f>"2561401014703"</f>
        <v>2561401014703</v>
      </c>
      <c r="C1339" s="8" t="s">
        <v>7</v>
      </c>
      <c r="D1339" s="9">
        <v>57.63</v>
      </c>
      <c r="E1339" s="8">
        <v>70</v>
      </c>
    </row>
    <row r="1340" s="3" customFormat="1" ht="18.75" spans="1:5">
      <c r="A1340" s="8" t="str">
        <f t="shared" si="24"/>
        <v>250007</v>
      </c>
      <c r="B1340" s="8" t="str">
        <f>"2561401014327"</f>
        <v>2561401014327</v>
      </c>
      <c r="C1340" s="8" t="s">
        <v>7</v>
      </c>
      <c r="D1340" s="9">
        <v>57.6</v>
      </c>
      <c r="E1340" s="8">
        <v>71</v>
      </c>
    </row>
    <row r="1341" s="3" customFormat="1" ht="18.75" spans="1:5">
      <c r="A1341" s="8" t="str">
        <f t="shared" si="24"/>
        <v>250007</v>
      </c>
      <c r="B1341" s="8" t="str">
        <f>"2561401014511"</f>
        <v>2561401014511</v>
      </c>
      <c r="C1341" s="8" t="s">
        <v>7</v>
      </c>
      <c r="D1341" s="9">
        <v>57.54</v>
      </c>
      <c r="E1341" s="8">
        <v>72</v>
      </c>
    </row>
    <row r="1342" s="3" customFormat="1" ht="18.75" spans="1:5">
      <c r="A1342" s="8" t="str">
        <f t="shared" si="24"/>
        <v>250007</v>
      </c>
      <c r="B1342" s="8" t="str">
        <f>"2561401015123"</f>
        <v>2561401015123</v>
      </c>
      <c r="C1342" s="8" t="s">
        <v>7</v>
      </c>
      <c r="D1342" s="9">
        <v>57.33</v>
      </c>
      <c r="E1342" s="8">
        <v>73</v>
      </c>
    </row>
    <row r="1343" s="3" customFormat="1" ht="18.75" spans="1:5">
      <c r="A1343" s="8" t="str">
        <f t="shared" si="24"/>
        <v>250007</v>
      </c>
      <c r="B1343" s="8" t="str">
        <f>"2561401014309"</f>
        <v>2561401014309</v>
      </c>
      <c r="C1343" s="8" t="s">
        <v>7</v>
      </c>
      <c r="D1343" s="9">
        <v>57.29</v>
      </c>
      <c r="E1343" s="8">
        <v>74</v>
      </c>
    </row>
    <row r="1344" s="3" customFormat="1" ht="18.75" spans="1:5">
      <c r="A1344" s="8" t="str">
        <f t="shared" si="24"/>
        <v>250007</v>
      </c>
      <c r="B1344" s="8" t="str">
        <f>"2561401014704"</f>
        <v>2561401014704</v>
      </c>
      <c r="C1344" s="8" t="s">
        <v>7</v>
      </c>
      <c r="D1344" s="9">
        <v>57.09</v>
      </c>
      <c r="E1344" s="8">
        <v>75</v>
      </c>
    </row>
    <row r="1345" s="3" customFormat="1" ht="18.75" spans="1:5">
      <c r="A1345" s="8" t="str">
        <f t="shared" si="24"/>
        <v>250007</v>
      </c>
      <c r="B1345" s="8" t="str">
        <f>"2561401015003"</f>
        <v>2561401015003</v>
      </c>
      <c r="C1345" s="8" t="s">
        <v>7</v>
      </c>
      <c r="D1345" s="9">
        <v>57.07</v>
      </c>
      <c r="E1345" s="8">
        <v>76</v>
      </c>
    </row>
    <row r="1346" s="3" customFormat="1" ht="18.75" spans="1:5">
      <c r="A1346" s="8" t="str">
        <f t="shared" si="24"/>
        <v>250007</v>
      </c>
      <c r="B1346" s="8" t="str">
        <f>"2561401015215"</f>
        <v>2561401015215</v>
      </c>
      <c r="C1346" s="8" t="s">
        <v>7</v>
      </c>
      <c r="D1346" s="9">
        <v>56.99</v>
      </c>
      <c r="E1346" s="8">
        <v>77</v>
      </c>
    </row>
    <row r="1347" s="3" customFormat="1" ht="18.75" spans="1:5">
      <c r="A1347" s="8" t="str">
        <f t="shared" si="24"/>
        <v>250007</v>
      </c>
      <c r="B1347" s="8" t="str">
        <f>"2561401014814"</f>
        <v>2561401014814</v>
      </c>
      <c r="C1347" s="8" t="s">
        <v>7</v>
      </c>
      <c r="D1347" s="9">
        <v>56.97</v>
      </c>
      <c r="E1347" s="8">
        <v>78</v>
      </c>
    </row>
    <row r="1348" s="3" customFormat="1" ht="18.75" spans="1:5">
      <c r="A1348" s="8" t="str">
        <f t="shared" si="24"/>
        <v>250007</v>
      </c>
      <c r="B1348" s="8" t="str">
        <f>"2561401014501"</f>
        <v>2561401014501</v>
      </c>
      <c r="C1348" s="8" t="s">
        <v>7</v>
      </c>
      <c r="D1348" s="9">
        <v>56.95</v>
      </c>
      <c r="E1348" s="8">
        <v>79</v>
      </c>
    </row>
    <row r="1349" s="3" customFormat="1" ht="18.75" spans="1:5">
      <c r="A1349" s="8" t="str">
        <f t="shared" si="24"/>
        <v>250007</v>
      </c>
      <c r="B1349" s="8" t="str">
        <f>"2561401014318"</f>
        <v>2561401014318</v>
      </c>
      <c r="C1349" s="8" t="s">
        <v>7</v>
      </c>
      <c r="D1349" s="9">
        <v>56.91</v>
      </c>
      <c r="E1349" s="8">
        <v>80</v>
      </c>
    </row>
    <row r="1350" s="3" customFormat="1" ht="18.75" spans="1:5">
      <c r="A1350" s="8" t="str">
        <f t="shared" si="24"/>
        <v>250007</v>
      </c>
      <c r="B1350" s="8" t="str">
        <f>"2561401015205"</f>
        <v>2561401015205</v>
      </c>
      <c r="C1350" s="8" t="s">
        <v>7</v>
      </c>
      <c r="D1350" s="9">
        <v>56.84</v>
      </c>
      <c r="E1350" s="8">
        <v>81</v>
      </c>
    </row>
    <row r="1351" s="3" customFormat="1" ht="18.75" spans="1:5">
      <c r="A1351" s="8" t="str">
        <f t="shared" si="24"/>
        <v>250007</v>
      </c>
      <c r="B1351" s="8" t="str">
        <f>"2561401015116"</f>
        <v>2561401015116</v>
      </c>
      <c r="C1351" s="8" t="s">
        <v>7</v>
      </c>
      <c r="D1351" s="9">
        <v>56.59</v>
      </c>
      <c r="E1351" s="8">
        <v>82</v>
      </c>
    </row>
    <row r="1352" s="3" customFormat="1" ht="18.75" spans="1:5">
      <c r="A1352" s="8" t="str">
        <f t="shared" si="24"/>
        <v>250007</v>
      </c>
      <c r="B1352" s="8" t="str">
        <f>"2561401014724"</f>
        <v>2561401014724</v>
      </c>
      <c r="C1352" s="8" t="s">
        <v>7</v>
      </c>
      <c r="D1352" s="9">
        <v>56.58</v>
      </c>
      <c r="E1352" s="8">
        <v>83</v>
      </c>
    </row>
    <row r="1353" s="3" customFormat="1" ht="18.75" spans="1:5">
      <c r="A1353" s="8" t="str">
        <f t="shared" si="24"/>
        <v>250007</v>
      </c>
      <c r="B1353" s="8" t="str">
        <f>"2561401014815"</f>
        <v>2561401014815</v>
      </c>
      <c r="C1353" s="8" t="s">
        <v>7</v>
      </c>
      <c r="D1353" s="9">
        <v>56.58</v>
      </c>
      <c r="E1353" s="8">
        <v>83</v>
      </c>
    </row>
    <row r="1354" s="3" customFormat="1" ht="18.75" spans="1:5">
      <c r="A1354" s="8" t="str">
        <f t="shared" si="24"/>
        <v>250007</v>
      </c>
      <c r="B1354" s="8" t="str">
        <f>"2561401014618"</f>
        <v>2561401014618</v>
      </c>
      <c r="C1354" s="8" t="s">
        <v>7</v>
      </c>
      <c r="D1354" s="9">
        <v>56.55</v>
      </c>
      <c r="E1354" s="8">
        <v>85</v>
      </c>
    </row>
    <row r="1355" s="3" customFormat="1" ht="18.75" spans="1:5">
      <c r="A1355" s="8" t="str">
        <f t="shared" si="24"/>
        <v>250007</v>
      </c>
      <c r="B1355" s="8" t="str">
        <f>"2561401015009"</f>
        <v>2561401015009</v>
      </c>
      <c r="C1355" s="8" t="s">
        <v>7</v>
      </c>
      <c r="D1355" s="9">
        <v>56.55</v>
      </c>
      <c r="E1355" s="8">
        <v>85</v>
      </c>
    </row>
    <row r="1356" s="3" customFormat="1" ht="18.75" spans="1:5">
      <c r="A1356" s="8" t="str">
        <f t="shared" si="24"/>
        <v>250007</v>
      </c>
      <c r="B1356" s="8" t="str">
        <f>"2561401015127"</f>
        <v>2561401015127</v>
      </c>
      <c r="C1356" s="8" t="s">
        <v>7</v>
      </c>
      <c r="D1356" s="9">
        <v>56.51</v>
      </c>
      <c r="E1356" s="8">
        <v>87</v>
      </c>
    </row>
    <row r="1357" s="3" customFormat="1" ht="18.75" spans="1:5">
      <c r="A1357" s="8" t="str">
        <f t="shared" si="24"/>
        <v>250007</v>
      </c>
      <c r="B1357" s="8" t="str">
        <f>"2561401014904"</f>
        <v>2561401014904</v>
      </c>
      <c r="C1357" s="8" t="s">
        <v>7</v>
      </c>
      <c r="D1357" s="9">
        <v>56.45</v>
      </c>
      <c r="E1357" s="8">
        <v>88</v>
      </c>
    </row>
    <row r="1358" s="3" customFormat="1" ht="18.75" spans="1:5">
      <c r="A1358" s="8" t="str">
        <f t="shared" si="24"/>
        <v>250007</v>
      </c>
      <c r="B1358" s="8" t="str">
        <f>"2561401015028"</f>
        <v>2561401015028</v>
      </c>
      <c r="C1358" s="8" t="s">
        <v>7</v>
      </c>
      <c r="D1358" s="9">
        <v>56.34</v>
      </c>
      <c r="E1358" s="8">
        <v>89</v>
      </c>
    </row>
    <row r="1359" s="3" customFormat="1" ht="18.75" spans="1:5">
      <c r="A1359" s="8" t="str">
        <f t="shared" si="24"/>
        <v>250007</v>
      </c>
      <c r="B1359" s="8" t="str">
        <f>"2561401014923"</f>
        <v>2561401014923</v>
      </c>
      <c r="C1359" s="8" t="s">
        <v>7</v>
      </c>
      <c r="D1359" s="9">
        <v>56.06</v>
      </c>
      <c r="E1359" s="8">
        <v>90</v>
      </c>
    </row>
    <row r="1360" s="3" customFormat="1" ht="18.75" spans="1:5">
      <c r="A1360" s="8" t="str">
        <f t="shared" si="24"/>
        <v>250007</v>
      </c>
      <c r="B1360" s="8" t="str">
        <f>"2561401014621"</f>
        <v>2561401014621</v>
      </c>
      <c r="C1360" s="8" t="s">
        <v>7</v>
      </c>
      <c r="D1360" s="9">
        <v>56.04</v>
      </c>
      <c r="E1360" s="8">
        <v>91</v>
      </c>
    </row>
    <row r="1361" s="3" customFormat="1" ht="18.75" spans="1:5">
      <c r="A1361" s="8" t="str">
        <f t="shared" si="24"/>
        <v>250007</v>
      </c>
      <c r="B1361" s="8" t="str">
        <f>"2561401014813"</f>
        <v>2561401014813</v>
      </c>
      <c r="C1361" s="8" t="s">
        <v>7</v>
      </c>
      <c r="D1361" s="9">
        <v>55.97</v>
      </c>
      <c r="E1361" s="8">
        <v>92</v>
      </c>
    </row>
    <row r="1362" s="3" customFormat="1" ht="18.75" spans="1:5">
      <c r="A1362" s="8" t="str">
        <f t="shared" si="24"/>
        <v>250007</v>
      </c>
      <c r="B1362" s="8" t="str">
        <f>"2561401015015"</f>
        <v>2561401015015</v>
      </c>
      <c r="C1362" s="8" t="s">
        <v>7</v>
      </c>
      <c r="D1362" s="9">
        <v>55.85</v>
      </c>
      <c r="E1362" s="8">
        <v>93</v>
      </c>
    </row>
    <row r="1363" s="3" customFormat="1" ht="18.75" spans="1:5">
      <c r="A1363" s="8" t="str">
        <f t="shared" si="24"/>
        <v>250007</v>
      </c>
      <c r="B1363" s="8" t="str">
        <f>"2561401014428"</f>
        <v>2561401014428</v>
      </c>
      <c r="C1363" s="8" t="s">
        <v>7</v>
      </c>
      <c r="D1363" s="9">
        <v>55.84</v>
      </c>
      <c r="E1363" s="8">
        <v>94</v>
      </c>
    </row>
    <row r="1364" s="3" customFormat="1" ht="18.75" spans="1:5">
      <c r="A1364" s="8" t="str">
        <f t="shared" si="24"/>
        <v>250007</v>
      </c>
      <c r="B1364" s="8" t="str">
        <f>"2561401014312"</f>
        <v>2561401014312</v>
      </c>
      <c r="C1364" s="8" t="s">
        <v>7</v>
      </c>
      <c r="D1364" s="9">
        <v>55.8</v>
      </c>
      <c r="E1364" s="8">
        <v>95</v>
      </c>
    </row>
    <row r="1365" s="3" customFormat="1" ht="18.75" spans="1:5">
      <c r="A1365" s="8" t="str">
        <f t="shared" si="24"/>
        <v>250007</v>
      </c>
      <c r="B1365" s="8" t="str">
        <f>"2561401014402"</f>
        <v>2561401014402</v>
      </c>
      <c r="C1365" s="8" t="s">
        <v>7</v>
      </c>
      <c r="D1365" s="9">
        <v>55.74</v>
      </c>
      <c r="E1365" s="8">
        <v>96</v>
      </c>
    </row>
    <row r="1366" s="3" customFormat="1" ht="18.75" spans="1:5">
      <c r="A1366" s="8" t="str">
        <f t="shared" si="24"/>
        <v>250007</v>
      </c>
      <c r="B1366" s="8" t="str">
        <f>"2561401014819"</f>
        <v>2561401014819</v>
      </c>
      <c r="C1366" s="8" t="s">
        <v>7</v>
      </c>
      <c r="D1366" s="9">
        <v>55.68</v>
      </c>
      <c r="E1366" s="8">
        <v>97</v>
      </c>
    </row>
    <row r="1367" s="3" customFormat="1" ht="18.75" spans="1:5">
      <c r="A1367" s="8" t="str">
        <f t="shared" si="24"/>
        <v>250007</v>
      </c>
      <c r="B1367" s="8" t="str">
        <f>"2561401014708"</f>
        <v>2561401014708</v>
      </c>
      <c r="C1367" s="8" t="s">
        <v>7</v>
      </c>
      <c r="D1367" s="9">
        <v>55.66</v>
      </c>
      <c r="E1367" s="8">
        <v>98</v>
      </c>
    </row>
    <row r="1368" s="3" customFormat="1" ht="18.75" spans="1:5">
      <c r="A1368" s="8" t="str">
        <f t="shared" si="24"/>
        <v>250007</v>
      </c>
      <c r="B1368" s="8" t="str">
        <f>"2561401014415"</f>
        <v>2561401014415</v>
      </c>
      <c r="C1368" s="8" t="s">
        <v>7</v>
      </c>
      <c r="D1368" s="9">
        <v>55.63</v>
      </c>
      <c r="E1368" s="8">
        <v>99</v>
      </c>
    </row>
    <row r="1369" s="3" customFormat="1" ht="18.75" spans="1:5">
      <c r="A1369" s="8" t="str">
        <f t="shared" si="24"/>
        <v>250007</v>
      </c>
      <c r="B1369" s="8" t="str">
        <f>"2561401014530"</f>
        <v>2561401014530</v>
      </c>
      <c r="C1369" s="8" t="s">
        <v>7</v>
      </c>
      <c r="D1369" s="9">
        <v>55.6</v>
      </c>
      <c r="E1369" s="8">
        <v>100</v>
      </c>
    </row>
    <row r="1370" s="3" customFormat="1" ht="18.75" spans="1:5">
      <c r="A1370" s="8" t="str">
        <f t="shared" si="24"/>
        <v>250007</v>
      </c>
      <c r="B1370" s="8" t="str">
        <f>"2561401014322"</f>
        <v>2561401014322</v>
      </c>
      <c r="C1370" s="8" t="s">
        <v>7</v>
      </c>
      <c r="D1370" s="9">
        <v>55.58</v>
      </c>
      <c r="E1370" s="8">
        <v>101</v>
      </c>
    </row>
    <row r="1371" s="3" customFormat="1" ht="18.75" spans="1:5">
      <c r="A1371" s="8" t="str">
        <f t="shared" si="24"/>
        <v>250007</v>
      </c>
      <c r="B1371" s="8" t="str">
        <f>"2561401015212"</f>
        <v>2561401015212</v>
      </c>
      <c r="C1371" s="8" t="s">
        <v>7</v>
      </c>
      <c r="D1371" s="9">
        <v>55.57</v>
      </c>
      <c r="E1371" s="8">
        <v>102</v>
      </c>
    </row>
    <row r="1372" s="3" customFormat="1" ht="18.75" spans="1:5">
      <c r="A1372" s="8" t="str">
        <f t="shared" si="24"/>
        <v>250007</v>
      </c>
      <c r="B1372" s="8" t="str">
        <f>"2561401014427"</f>
        <v>2561401014427</v>
      </c>
      <c r="C1372" s="8" t="s">
        <v>7</v>
      </c>
      <c r="D1372" s="9">
        <v>55.49</v>
      </c>
      <c r="E1372" s="8">
        <v>103</v>
      </c>
    </row>
    <row r="1373" s="3" customFormat="1" ht="18.75" spans="1:5">
      <c r="A1373" s="8" t="str">
        <f t="shared" si="24"/>
        <v>250007</v>
      </c>
      <c r="B1373" s="8" t="str">
        <f>"2561401015020"</f>
        <v>2561401015020</v>
      </c>
      <c r="C1373" s="8" t="s">
        <v>7</v>
      </c>
      <c r="D1373" s="9">
        <v>55.21</v>
      </c>
      <c r="E1373" s="8">
        <v>104</v>
      </c>
    </row>
    <row r="1374" s="3" customFormat="1" ht="18.75" spans="1:5">
      <c r="A1374" s="8" t="str">
        <f t="shared" si="24"/>
        <v>250007</v>
      </c>
      <c r="B1374" s="8" t="str">
        <f>"2561401014908"</f>
        <v>2561401014908</v>
      </c>
      <c r="C1374" s="8" t="s">
        <v>7</v>
      </c>
      <c r="D1374" s="9">
        <v>55.02</v>
      </c>
      <c r="E1374" s="8">
        <v>105</v>
      </c>
    </row>
    <row r="1375" s="3" customFormat="1" ht="18.75" spans="1:5">
      <c r="A1375" s="8" t="str">
        <f t="shared" si="24"/>
        <v>250007</v>
      </c>
      <c r="B1375" s="8" t="str">
        <f>"2561401014615"</f>
        <v>2561401014615</v>
      </c>
      <c r="C1375" s="8" t="s">
        <v>7</v>
      </c>
      <c r="D1375" s="9">
        <v>54.99</v>
      </c>
      <c r="E1375" s="8">
        <v>106</v>
      </c>
    </row>
    <row r="1376" s="3" customFormat="1" ht="18.75" spans="1:5">
      <c r="A1376" s="8" t="str">
        <f t="shared" si="24"/>
        <v>250007</v>
      </c>
      <c r="B1376" s="8" t="str">
        <f>"2561401014721"</f>
        <v>2561401014721</v>
      </c>
      <c r="C1376" s="8" t="s">
        <v>7</v>
      </c>
      <c r="D1376" s="9">
        <v>54.95</v>
      </c>
      <c r="E1376" s="8">
        <v>107</v>
      </c>
    </row>
    <row r="1377" s="3" customFormat="1" ht="18.75" spans="1:5">
      <c r="A1377" s="8" t="str">
        <f t="shared" si="24"/>
        <v>250007</v>
      </c>
      <c r="B1377" s="8" t="str">
        <f>"2561401014723"</f>
        <v>2561401014723</v>
      </c>
      <c r="C1377" s="8" t="s">
        <v>7</v>
      </c>
      <c r="D1377" s="9">
        <v>54.78</v>
      </c>
      <c r="E1377" s="8">
        <v>108</v>
      </c>
    </row>
    <row r="1378" s="3" customFormat="1" ht="18.75" spans="1:5">
      <c r="A1378" s="8" t="str">
        <f t="shared" si="24"/>
        <v>250007</v>
      </c>
      <c r="B1378" s="8" t="str">
        <f>"2561401015213"</f>
        <v>2561401015213</v>
      </c>
      <c r="C1378" s="8" t="s">
        <v>7</v>
      </c>
      <c r="D1378" s="9">
        <v>54.74</v>
      </c>
      <c r="E1378" s="8">
        <v>109</v>
      </c>
    </row>
    <row r="1379" s="3" customFormat="1" ht="18.75" spans="1:5">
      <c r="A1379" s="8" t="str">
        <f t="shared" si="24"/>
        <v>250007</v>
      </c>
      <c r="B1379" s="8" t="str">
        <f>"2561401014328"</f>
        <v>2561401014328</v>
      </c>
      <c r="C1379" s="8" t="s">
        <v>7</v>
      </c>
      <c r="D1379" s="9">
        <v>54.67</v>
      </c>
      <c r="E1379" s="8">
        <v>110</v>
      </c>
    </row>
    <row r="1380" s="3" customFormat="1" ht="18.75" spans="1:5">
      <c r="A1380" s="8" t="str">
        <f t="shared" si="24"/>
        <v>250007</v>
      </c>
      <c r="B1380" s="8" t="str">
        <f>"2561401015126"</f>
        <v>2561401015126</v>
      </c>
      <c r="C1380" s="8" t="s">
        <v>7</v>
      </c>
      <c r="D1380" s="9">
        <v>54.59</v>
      </c>
      <c r="E1380" s="8">
        <v>111</v>
      </c>
    </row>
    <row r="1381" s="3" customFormat="1" ht="18.75" spans="1:5">
      <c r="A1381" s="8" t="str">
        <f t="shared" si="24"/>
        <v>250007</v>
      </c>
      <c r="B1381" s="8" t="str">
        <f>"2561401015004"</f>
        <v>2561401015004</v>
      </c>
      <c r="C1381" s="8" t="s">
        <v>7</v>
      </c>
      <c r="D1381" s="9">
        <v>54.55</v>
      </c>
      <c r="E1381" s="8">
        <v>112</v>
      </c>
    </row>
    <row r="1382" s="3" customFormat="1" ht="18.75" spans="1:5">
      <c r="A1382" s="8" t="str">
        <f t="shared" si="24"/>
        <v>250007</v>
      </c>
      <c r="B1382" s="8" t="str">
        <f>"2561401015023"</f>
        <v>2561401015023</v>
      </c>
      <c r="C1382" s="8" t="s">
        <v>7</v>
      </c>
      <c r="D1382" s="9">
        <v>54.54</v>
      </c>
      <c r="E1382" s="8">
        <v>113</v>
      </c>
    </row>
    <row r="1383" s="3" customFormat="1" ht="18.75" spans="1:5">
      <c r="A1383" s="8" t="str">
        <f t="shared" si="24"/>
        <v>250007</v>
      </c>
      <c r="B1383" s="8" t="str">
        <f>"2561401014316"</f>
        <v>2561401014316</v>
      </c>
      <c r="C1383" s="8" t="s">
        <v>7</v>
      </c>
      <c r="D1383" s="9">
        <v>54.43</v>
      </c>
      <c r="E1383" s="8">
        <v>114</v>
      </c>
    </row>
    <row r="1384" s="3" customFormat="1" ht="18.75" spans="1:5">
      <c r="A1384" s="8" t="str">
        <f t="shared" si="24"/>
        <v>250007</v>
      </c>
      <c r="B1384" s="8" t="str">
        <f>"2561401014611"</f>
        <v>2561401014611</v>
      </c>
      <c r="C1384" s="8" t="s">
        <v>7</v>
      </c>
      <c r="D1384" s="9">
        <v>54.19</v>
      </c>
      <c r="E1384" s="8">
        <v>115</v>
      </c>
    </row>
    <row r="1385" s="3" customFormat="1" ht="18.75" spans="1:5">
      <c r="A1385" s="8" t="str">
        <f t="shared" si="24"/>
        <v>250007</v>
      </c>
      <c r="B1385" s="8" t="str">
        <f>"2561401014624"</f>
        <v>2561401014624</v>
      </c>
      <c r="C1385" s="8" t="s">
        <v>7</v>
      </c>
      <c r="D1385" s="9">
        <v>54.03</v>
      </c>
      <c r="E1385" s="8">
        <v>116</v>
      </c>
    </row>
    <row r="1386" s="3" customFormat="1" ht="18.75" spans="1:5">
      <c r="A1386" s="8" t="str">
        <f t="shared" si="24"/>
        <v>250007</v>
      </c>
      <c r="B1386" s="8" t="str">
        <f>"2561401015125"</f>
        <v>2561401015125</v>
      </c>
      <c r="C1386" s="8" t="s">
        <v>7</v>
      </c>
      <c r="D1386" s="9">
        <v>53.66</v>
      </c>
      <c r="E1386" s="8">
        <v>117</v>
      </c>
    </row>
    <row r="1387" s="3" customFormat="1" ht="18.75" spans="1:5">
      <c r="A1387" s="8" t="str">
        <f t="shared" si="24"/>
        <v>250007</v>
      </c>
      <c r="B1387" s="8" t="str">
        <f>"2561401014719"</f>
        <v>2561401014719</v>
      </c>
      <c r="C1387" s="8" t="s">
        <v>7</v>
      </c>
      <c r="D1387" s="9">
        <v>53.56</v>
      </c>
      <c r="E1387" s="8">
        <v>118</v>
      </c>
    </row>
    <row r="1388" s="3" customFormat="1" ht="18.75" spans="1:5">
      <c r="A1388" s="8" t="str">
        <f t="shared" si="24"/>
        <v>250007</v>
      </c>
      <c r="B1388" s="8" t="str">
        <f>"2561401015006"</f>
        <v>2561401015006</v>
      </c>
      <c r="C1388" s="8" t="s">
        <v>7</v>
      </c>
      <c r="D1388" s="9">
        <v>53.25</v>
      </c>
      <c r="E1388" s="8">
        <v>119</v>
      </c>
    </row>
    <row r="1389" s="3" customFormat="1" ht="18.75" spans="1:5">
      <c r="A1389" s="8" t="str">
        <f t="shared" si="24"/>
        <v>250007</v>
      </c>
      <c r="B1389" s="8" t="str">
        <f>"2561401015118"</f>
        <v>2561401015118</v>
      </c>
      <c r="C1389" s="8" t="s">
        <v>7</v>
      </c>
      <c r="D1389" s="9">
        <v>53.23</v>
      </c>
      <c r="E1389" s="8">
        <v>120</v>
      </c>
    </row>
    <row r="1390" s="3" customFormat="1" ht="18.75" spans="1:5">
      <c r="A1390" s="8" t="str">
        <f t="shared" si="24"/>
        <v>250007</v>
      </c>
      <c r="B1390" s="8" t="str">
        <f>"2561401014830"</f>
        <v>2561401014830</v>
      </c>
      <c r="C1390" s="8" t="s">
        <v>7</v>
      </c>
      <c r="D1390" s="9">
        <v>53.12</v>
      </c>
      <c r="E1390" s="8">
        <v>121</v>
      </c>
    </row>
    <row r="1391" s="3" customFormat="1" ht="18.75" spans="1:5">
      <c r="A1391" s="8" t="str">
        <f t="shared" si="24"/>
        <v>250007</v>
      </c>
      <c r="B1391" s="8" t="str">
        <f>"2561401014828"</f>
        <v>2561401014828</v>
      </c>
      <c r="C1391" s="8" t="s">
        <v>7</v>
      </c>
      <c r="D1391" s="9">
        <v>52.88</v>
      </c>
      <c r="E1391" s="8">
        <v>122</v>
      </c>
    </row>
    <row r="1392" s="3" customFormat="1" ht="18.75" spans="1:5">
      <c r="A1392" s="8" t="str">
        <f t="shared" si="24"/>
        <v>250007</v>
      </c>
      <c r="B1392" s="8" t="str">
        <f>"2561401014916"</f>
        <v>2561401014916</v>
      </c>
      <c r="C1392" s="8" t="s">
        <v>7</v>
      </c>
      <c r="D1392" s="9">
        <v>52.86</v>
      </c>
      <c r="E1392" s="8">
        <v>123</v>
      </c>
    </row>
    <row r="1393" s="3" customFormat="1" ht="18.75" spans="1:5">
      <c r="A1393" s="8" t="str">
        <f t="shared" si="24"/>
        <v>250007</v>
      </c>
      <c r="B1393" s="8" t="str">
        <f>"2561401014808"</f>
        <v>2561401014808</v>
      </c>
      <c r="C1393" s="8" t="s">
        <v>7</v>
      </c>
      <c r="D1393" s="9">
        <v>52.76</v>
      </c>
      <c r="E1393" s="8">
        <v>124</v>
      </c>
    </row>
    <row r="1394" s="3" customFormat="1" ht="18.75" spans="1:5">
      <c r="A1394" s="8" t="str">
        <f t="shared" si="24"/>
        <v>250007</v>
      </c>
      <c r="B1394" s="8" t="str">
        <f>"2561401015025"</f>
        <v>2561401015025</v>
      </c>
      <c r="C1394" s="8" t="s">
        <v>7</v>
      </c>
      <c r="D1394" s="9">
        <v>52.71</v>
      </c>
      <c r="E1394" s="8">
        <v>125</v>
      </c>
    </row>
    <row r="1395" s="3" customFormat="1" ht="18.75" spans="1:5">
      <c r="A1395" s="8" t="str">
        <f t="shared" si="24"/>
        <v>250007</v>
      </c>
      <c r="B1395" s="8" t="str">
        <f>"2561401014606"</f>
        <v>2561401014606</v>
      </c>
      <c r="C1395" s="8" t="s">
        <v>7</v>
      </c>
      <c r="D1395" s="9">
        <v>52.54</v>
      </c>
      <c r="E1395" s="8">
        <v>126</v>
      </c>
    </row>
    <row r="1396" s="3" customFormat="1" ht="18.75" spans="1:5">
      <c r="A1396" s="8" t="str">
        <f t="shared" si="24"/>
        <v>250007</v>
      </c>
      <c r="B1396" s="8" t="str">
        <f>"2561401015130"</f>
        <v>2561401015130</v>
      </c>
      <c r="C1396" s="8" t="s">
        <v>7</v>
      </c>
      <c r="D1396" s="9">
        <v>52.27</v>
      </c>
      <c r="E1396" s="8">
        <v>127</v>
      </c>
    </row>
    <row r="1397" s="3" customFormat="1" ht="18.75" spans="1:5">
      <c r="A1397" s="8" t="str">
        <f t="shared" si="24"/>
        <v>250007</v>
      </c>
      <c r="B1397" s="8" t="str">
        <f>"2561401015104"</f>
        <v>2561401015104</v>
      </c>
      <c r="C1397" s="8" t="s">
        <v>7</v>
      </c>
      <c r="D1397" s="9">
        <v>52.24</v>
      </c>
      <c r="E1397" s="8">
        <v>128</v>
      </c>
    </row>
    <row r="1398" s="3" customFormat="1" ht="18.75" spans="1:5">
      <c r="A1398" s="8" t="str">
        <f t="shared" ref="A1398:A1461" si="25">"250007"</f>
        <v>250007</v>
      </c>
      <c r="B1398" s="8" t="str">
        <f>"2561401014314"</f>
        <v>2561401014314</v>
      </c>
      <c r="C1398" s="8" t="s">
        <v>7</v>
      </c>
      <c r="D1398" s="9">
        <v>52.19</v>
      </c>
      <c r="E1398" s="8">
        <v>129</v>
      </c>
    </row>
    <row r="1399" s="3" customFormat="1" ht="18.75" spans="1:5">
      <c r="A1399" s="8" t="str">
        <f t="shared" si="25"/>
        <v>250007</v>
      </c>
      <c r="B1399" s="8" t="str">
        <f>"2561401014817"</f>
        <v>2561401014817</v>
      </c>
      <c r="C1399" s="8" t="s">
        <v>7</v>
      </c>
      <c r="D1399" s="9">
        <v>52.03</v>
      </c>
      <c r="E1399" s="8">
        <v>130</v>
      </c>
    </row>
    <row r="1400" s="3" customFormat="1" ht="18.75" spans="1:5">
      <c r="A1400" s="8" t="str">
        <f t="shared" si="25"/>
        <v>250007</v>
      </c>
      <c r="B1400" s="8" t="str">
        <f>"2561401014507"</f>
        <v>2561401014507</v>
      </c>
      <c r="C1400" s="8" t="s">
        <v>7</v>
      </c>
      <c r="D1400" s="9">
        <v>51.8</v>
      </c>
      <c r="E1400" s="8">
        <v>131</v>
      </c>
    </row>
    <row r="1401" s="3" customFormat="1" ht="18.75" spans="1:5">
      <c r="A1401" s="8" t="str">
        <f t="shared" si="25"/>
        <v>250007</v>
      </c>
      <c r="B1401" s="8" t="str">
        <f>"2561401014818"</f>
        <v>2561401014818</v>
      </c>
      <c r="C1401" s="8" t="s">
        <v>7</v>
      </c>
      <c r="D1401" s="9">
        <v>51.61</v>
      </c>
      <c r="E1401" s="8">
        <v>132</v>
      </c>
    </row>
    <row r="1402" s="3" customFormat="1" ht="18.75" spans="1:5">
      <c r="A1402" s="8" t="str">
        <f t="shared" si="25"/>
        <v>250007</v>
      </c>
      <c r="B1402" s="8" t="str">
        <f>"2561401015002"</f>
        <v>2561401015002</v>
      </c>
      <c r="C1402" s="8" t="s">
        <v>7</v>
      </c>
      <c r="D1402" s="9">
        <v>51.5</v>
      </c>
      <c r="E1402" s="8">
        <v>133</v>
      </c>
    </row>
    <row r="1403" s="3" customFormat="1" ht="18.75" spans="1:5">
      <c r="A1403" s="8" t="str">
        <f t="shared" si="25"/>
        <v>250007</v>
      </c>
      <c r="B1403" s="8" t="str">
        <f>"2561401014311"</f>
        <v>2561401014311</v>
      </c>
      <c r="C1403" s="8" t="s">
        <v>7</v>
      </c>
      <c r="D1403" s="9">
        <v>51.46</v>
      </c>
      <c r="E1403" s="8">
        <v>134</v>
      </c>
    </row>
    <row r="1404" s="3" customFormat="1" ht="18.75" spans="1:5">
      <c r="A1404" s="8" t="str">
        <f t="shared" si="25"/>
        <v>250007</v>
      </c>
      <c r="B1404" s="8" t="str">
        <f>"2561401014705"</f>
        <v>2561401014705</v>
      </c>
      <c r="C1404" s="8" t="s">
        <v>7</v>
      </c>
      <c r="D1404" s="9">
        <v>51.43</v>
      </c>
      <c r="E1404" s="8">
        <v>135</v>
      </c>
    </row>
    <row r="1405" s="3" customFormat="1" ht="18.75" spans="1:5">
      <c r="A1405" s="8" t="str">
        <f t="shared" si="25"/>
        <v>250007</v>
      </c>
      <c r="B1405" s="8" t="str">
        <f>"2561401014513"</f>
        <v>2561401014513</v>
      </c>
      <c r="C1405" s="8" t="s">
        <v>7</v>
      </c>
      <c r="D1405" s="9">
        <v>51.42</v>
      </c>
      <c r="E1405" s="8">
        <v>136</v>
      </c>
    </row>
    <row r="1406" s="3" customFormat="1" ht="18.75" spans="1:5">
      <c r="A1406" s="8" t="str">
        <f t="shared" si="25"/>
        <v>250007</v>
      </c>
      <c r="B1406" s="8" t="str">
        <f>"2561401015101"</f>
        <v>2561401015101</v>
      </c>
      <c r="C1406" s="8" t="s">
        <v>7</v>
      </c>
      <c r="D1406" s="9">
        <v>51.38</v>
      </c>
      <c r="E1406" s="8">
        <v>137</v>
      </c>
    </row>
    <row r="1407" s="3" customFormat="1" ht="18.75" spans="1:5">
      <c r="A1407" s="8" t="str">
        <f t="shared" si="25"/>
        <v>250007</v>
      </c>
      <c r="B1407" s="8" t="str">
        <f>"2561401014401"</f>
        <v>2561401014401</v>
      </c>
      <c r="C1407" s="8" t="s">
        <v>7</v>
      </c>
      <c r="D1407" s="9">
        <v>51.12</v>
      </c>
      <c r="E1407" s="8">
        <v>138</v>
      </c>
    </row>
    <row r="1408" s="3" customFormat="1" ht="18.75" spans="1:5">
      <c r="A1408" s="8" t="str">
        <f t="shared" si="25"/>
        <v>250007</v>
      </c>
      <c r="B1408" s="8" t="str">
        <f>"2561401014601"</f>
        <v>2561401014601</v>
      </c>
      <c r="C1408" s="8" t="s">
        <v>7</v>
      </c>
      <c r="D1408" s="9">
        <v>51.08</v>
      </c>
      <c r="E1408" s="8">
        <v>139</v>
      </c>
    </row>
    <row r="1409" s="3" customFormat="1" ht="18.75" spans="1:5">
      <c r="A1409" s="8" t="str">
        <f t="shared" si="25"/>
        <v>250007</v>
      </c>
      <c r="B1409" s="8" t="str">
        <f>"2561401014907"</f>
        <v>2561401014907</v>
      </c>
      <c r="C1409" s="8" t="s">
        <v>7</v>
      </c>
      <c r="D1409" s="9">
        <v>50.78</v>
      </c>
      <c r="E1409" s="8">
        <v>140</v>
      </c>
    </row>
    <row r="1410" s="3" customFormat="1" ht="18.75" spans="1:5">
      <c r="A1410" s="8" t="str">
        <f t="shared" si="25"/>
        <v>250007</v>
      </c>
      <c r="B1410" s="8" t="str">
        <f>"2561401014619"</f>
        <v>2561401014619</v>
      </c>
      <c r="C1410" s="8" t="s">
        <v>7</v>
      </c>
      <c r="D1410" s="9">
        <v>50.74</v>
      </c>
      <c r="E1410" s="8">
        <v>141</v>
      </c>
    </row>
    <row r="1411" s="3" customFormat="1" ht="18.75" spans="1:5">
      <c r="A1411" s="8" t="str">
        <f t="shared" si="25"/>
        <v>250007</v>
      </c>
      <c r="B1411" s="8" t="str">
        <f>"2561401015120"</f>
        <v>2561401015120</v>
      </c>
      <c r="C1411" s="8" t="s">
        <v>7</v>
      </c>
      <c r="D1411" s="9">
        <v>50.38</v>
      </c>
      <c r="E1411" s="8">
        <v>142</v>
      </c>
    </row>
    <row r="1412" s="3" customFormat="1" ht="18.75" spans="1:5">
      <c r="A1412" s="8" t="str">
        <f t="shared" si="25"/>
        <v>250007</v>
      </c>
      <c r="B1412" s="8" t="str">
        <f>"2561401014605"</f>
        <v>2561401014605</v>
      </c>
      <c r="C1412" s="8" t="s">
        <v>7</v>
      </c>
      <c r="D1412" s="9">
        <v>50.33</v>
      </c>
      <c r="E1412" s="8">
        <v>143</v>
      </c>
    </row>
    <row r="1413" s="3" customFormat="1" ht="18.75" spans="1:5">
      <c r="A1413" s="8" t="str">
        <f t="shared" si="25"/>
        <v>250007</v>
      </c>
      <c r="B1413" s="8" t="str">
        <f>"2561401014527"</f>
        <v>2561401014527</v>
      </c>
      <c r="C1413" s="8" t="s">
        <v>7</v>
      </c>
      <c r="D1413" s="9">
        <v>49.93</v>
      </c>
      <c r="E1413" s="8">
        <v>144</v>
      </c>
    </row>
    <row r="1414" s="3" customFormat="1" ht="18.75" spans="1:5">
      <c r="A1414" s="8" t="str">
        <f t="shared" si="25"/>
        <v>250007</v>
      </c>
      <c r="B1414" s="8" t="str">
        <f>"2561401014823"</f>
        <v>2561401014823</v>
      </c>
      <c r="C1414" s="8" t="s">
        <v>7</v>
      </c>
      <c r="D1414" s="9">
        <v>49.8</v>
      </c>
      <c r="E1414" s="8">
        <v>145</v>
      </c>
    </row>
    <row r="1415" s="3" customFormat="1" ht="18.75" spans="1:5">
      <c r="A1415" s="8" t="str">
        <f t="shared" si="25"/>
        <v>250007</v>
      </c>
      <c r="B1415" s="8" t="str">
        <f>"2561401014825"</f>
        <v>2561401014825</v>
      </c>
      <c r="C1415" s="8" t="s">
        <v>7</v>
      </c>
      <c r="D1415" s="9">
        <v>49.68</v>
      </c>
      <c r="E1415" s="8">
        <v>146</v>
      </c>
    </row>
    <row r="1416" s="3" customFormat="1" ht="18.75" spans="1:5">
      <c r="A1416" s="8" t="str">
        <f t="shared" si="25"/>
        <v>250007</v>
      </c>
      <c r="B1416" s="8" t="str">
        <f>"2561401015207"</f>
        <v>2561401015207</v>
      </c>
      <c r="C1416" s="8" t="s">
        <v>7</v>
      </c>
      <c r="D1416" s="9">
        <v>49.68</v>
      </c>
      <c r="E1416" s="8">
        <v>146</v>
      </c>
    </row>
    <row r="1417" s="3" customFormat="1" ht="18.75" spans="1:5">
      <c r="A1417" s="8" t="str">
        <f t="shared" si="25"/>
        <v>250007</v>
      </c>
      <c r="B1417" s="8" t="str">
        <f>"2561401014313"</f>
        <v>2561401014313</v>
      </c>
      <c r="C1417" s="8" t="s">
        <v>7</v>
      </c>
      <c r="D1417" s="9">
        <v>49.65</v>
      </c>
      <c r="E1417" s="8">
        <v>148</v>
      </c>
    </row>
    <row r="1418" s="3" customFormat="1" ht="18.75" spans="1:5">
      <c r="A1418" s="8" t="str">
        <f t="shared" si="25"/>
        <v>250007</v>
      </c>
      <c r="B1418" s="8" t="str">
        <f>"2561401014307"</f>
        <v>2561401014307</v>
      </c>
      <c r="C1418" s="8" t="s">
        <v>7</v>
      </c>
      <c r="D1418" s="9">
        <v>49.58</v>
      </c>
      <c r="E1418" s="8">
        <v>149</v>
      </c>
    </row>
    <row r="1419" s="3" customFormat="1" ht="18.75" spans="1:5">
      <c r="A1419" s="8" t="str">
        <f t="shared" si="25"/>
        <v>250007</v>
      </c>
      <c r="B1419" s="8" t="str">
        <f>"2561401014526"</f>
        <v>2561401014526</v>
      </c>
      <c r="C1419" s="8" t="s">
        <v>7</v>
      </c>
      <c r="D1419" s="9">
        <v>49.16</v>
      </c>
      <c r="E1419" s="8">
        <v>150</v>
      </c>
    </row>
    <row r="1420" s="3" customFormat="1" ht="18.75" spans="1:5">
      <c r="A1420" s="8" t="str">
        <f t="shared" si="25"/>
        <v>250007</v>
      </c>
      <c r="B1420" s="8" t="str">
        <f>"2561401015117"</f>
        <v>2561401015117</v>
      </c>
      <c r="C1420" s="8" t="s">
        <v>7</v>
      </c>
      <c r="D1420" s="9">
        <v>48.97</v>
      </c>
      <c r="E1420" s="8">
        <v>151</v>
      </c>
    </row>
    <row r="1421" s="3" customFormat="1" ht="18.75" spans="1:5">
      <c r="A1421" s="8" t="str">
        <f t="shared" si="25"/>
        <v>250007</v>
      </c>
      <c r="B1421" s="8" t="str">
        <f>"2561401014407"</f>
        <v>2561401014407</v>
      </c>
      <c r="C1421" s="8" t="s">
        <v>7</v>
      </c>
      <c r="D1421" s="9">
        <v>48.45</v>
      </c>
      <c r="E1421" s="8">
        <v>152</v>
      </c>
    </row>
    <row r="1422" s="3" customFormat="1" ht="18.75" spans="1:5">
      <c r="A1422" s="8" t="str">
        <f t="shared" si="25"/>
        <v>250007</v>
      </c>
      <c r="B1422" s="8" t="str">
        <f>"2561401014408"</f>
        <v>2561401014408</v>
      </c>
      <c r="C1422" s="8" t="s">
        <v>7</v>
      </c>
      <c r="D1422" s="9">
        <v>48.15</v>
      </c>
      <c r="E1422" s="8">
        <v>153</v>
      </c>
    </row>
    <row r="1423" s="3" customFormat="1" ht="18.75" spans="1:5">
      <c r="A1423" s="8" t="str">
        <f t="shared" si="25"/>
        <v>250007</v>
      </c>
      <c r="B1423" s="8" t="str">
        <f>"2561401014523"</f>
        <v>2561401014523</v>
      </c>
      <c r="C1423" s="8" t="s">
        <v>7</v>
      </c>
      <c r="D1423" s="9">
        <v>48.03</v>
      </c>
      <c r="E1423" s="8">
        <v>154</v>
      </c>
    </row>
    <row r="1424" s="3" customFormat="1" ht="18.75" spans="1:5">
      <c r="A1424" s="8" t="str">
        <f t="shared" si="25"/>
        <v>250007</v>
      </c>
      <c r="B1424" s="8" t="str">
        <f>"2561401015021"</f>
        <v>2561401015021</v>
      </c>
      <c r="C1424" s="8" t="s">
        <v>7</v>
      </c>
      <c r="D1424" s="9">
        <v>47.81</v>
      </c>
      <c r="E1424" s="8">
        <v>155</v>
      </c>
    </row>
    <row r="1425" s="3" customFormat="1" ht="18.75" spans="1:5">
      <c r="A1425" s="8" t="str">
        <f t="shared" si="25"/>
        <v>250007</v>
      </c>
      <c r="B1425" s="8" t="str">
        <f>"2561401014720"</f>
        <v>2561401014720</v>
      </c>
      <c r="C1425" s="8" t="s">
        <v>7</v>
      </c>
      <c r="D1425" s="9">
        <v>47.23</v>
      </c>
      <c r="E1425" s="8">
        <v>156</v>
      </c>
    </row>
    <row r="1426" s="3" customFormat="1" ht="18.75" spans="1:5">
      <c r="A1426" s="8" t="str">
        <f t="shared" si="25"/>
        <v>250007</v>
      </c>
      <c r="B1426" s="8" t="str">
        <f>"2561401014727"</f>
        <v>2561401014727</v>
      </c>
      <c r="C1426" s="8" t="s">
        <v>7</v>
      </c>
      <c r="D1426" s="9">
        <v>47.12</v>
      </c>
      <c r="E1426" s="8">
        <v>157</v>
      </c>
    </row>
    <row r="1427" s="3" customFormat="1" ht="18.75" spans="1:5">
      <c r="A1427" s="8" t="str">
        <f t="shared" si="25"/>
        <v>250007</v>
      </c>
      <c r="B1427" s="8" t="str">
        <f>"2561401015206"</f>
        <v>2561401015206</v>
      </c>
      <c r="C1427" s="8" t="s">
        <v>7</v>
      </c>
      <c r="D1427" s="9">
        <v>47</v>
      </c>
      <c r="E1427" s="8">
        <v>158</v>
      </c>
    </row>
    <row r="1428" s="3" customFormat="1" ht="18.75" spans="1:5">
      <c r="A1428" s="8" t="str">
        <f t="shared" si="25"/>
        <v>250007</v>
      </c>
      <c r="B1428" s="8" t="str">
        <f>"2561401015111"</f>
        <v>2561401015111</v>
      </c>
      <c r="C1428" s="8" t="s">
        <v>7</v>
      </c>
      <c r="D1428" s="9">
        <v>46.98</v>
      </c>
      <c r="E1428" s="8">
        <v>159</v>
      </c>
    </row>
    <row r="1429" s="3" customFormat="1" ht="18.75" spans="1:5">
      <c r="A1429" s="8" t="str">
        <f t="shared" si="25"/>
        <v>250007</v>
      </c>
      <c r="B1429" s="8" t="str">
        <f>"2561401015022"</f>
        <v>2561401015022</v>
      </c>
      <c r="C1429" s="8" t="s">
        <v>7</v>
      </c>
      <c r="D1429" s="9">
        <v>46.89</v>
      </c>
      <c r="E1429" s="8">
        <v>160</v>
      </c>
    </row>
    <row r="1430" s="3" customFormat="1" ht="18.75" spans="1:5">
      <c r="A1430" s="8" t="str">
        <f t="shared" si="25"/>
        <v>250007</v>
      </c>
      <c r="B1430" s="8" t="str">
        <f>"2561401014406"</f>
        <v>2561401014406</v>
      </c>
      <c r="C1430" s="8" t="s">
        <v>7</v>
      </c>
      <c r="D1430" s="9">
        <v>46.84</v>
      </c>
      <c r="E1430" s="8">
        <v>161</v>
      </c>
    </row>
    <row r="1431" s="3" customFormat="1" ht="18.75" spans="1:5">
      <c r="A1431" s="8" t="str">
        <f t="shared" si="25"/>
        <v>250007</v>
      </c>
      <c r="B1431" s="8" t="str">
        <f>"2561401014521"</f>
        <v>2561401014521</v>
      </c>
      <c r="C1431" s="8" t="s">
        <v>7</v>
      </c>
      <c r="D1431" s="9">
        <v>46.76</v>
      </c>
      <c r="E1431" s="8">
        <v>162</v>
      </c>
    </row>
    <row r="1432" s="3" customFormat="1" ht="18.75" spans="1:5">
      <c r="A1432" s="8" t="str">
        <f t="shared" si="25"/>
        <v>250007</v>
      </c>
      <c r="B1432" s="8" t="str">
        <f>"2561401014524"</f>
        <v>2561401014524</v>
      </c>
      <c r="C1432" s="8" t="s">
        <v>7</v>
      </c>
      <c r="D1432" s="9">
        <v>46.76</v>
      </c>
      <c r="E1432" s="8">
        <v>162</v>
      </c>
    </row>
    <row r="1433" s="3" customFormat="1" ht="18.75" spans="1:5">
      <c r="A1433" s="8" t="str">
        <f t="shared" si="25"/>
        <v>250007</v>
      </c>
      <c r="B1433" s="8" t="str">
        <f>"2561401014816"</f>
        <v>2561401014816</v>
      </c>
      <c r="C1433" s="8" t="s">
        <v>7</v>
      </c>
      <c r="D1433" s="9">
        <v>46.54</v>
      </c>
      <c r="E1433" s="8">
        <v>164</v>
      </c>
    </row>
    <row r="1434" s="3" customFormat="1" ht="18.75" spans="1:5">
      <c r="A1434" s="8" t="str">
        <f t="shared" si="25"/>
        <v>250007</v>
      </c>
      <c r="B1434" s="8" t="str">
        <f>"2561401014403"</f>
        <v>2561401014403</v>
      </c>
      <c r="C1434" s="8" t="s">
        <v>7</v>
      </c>
      <c r="D1434" s="9">
        <v>46.27</v>
      </c>
      <c r="E1434" s="8">
        <v>165</v>
      </c>
    </row>
    <row r="1435" s="3" customFormat="1" ht="18.75" spans="1:5">
      <c r="A1435" s="8" t="str">
        <f t="shared" si="25"/>
        <v>250007</v>
      </c>
      <c r="B1435" s="8" t="str">
        <f>"2561401014519"</f>
        <v>2561401014519</v>
      </c>
      <c r="C1435" s="8" t="s">
        <v>7</v>
      </c>
      <c r="D1435" s="9">
        <v>46.23</v>
      </c>
      <c r="E1435" s="8">
        <v>166</v>
      </c>
    </row>
    <row r="1436" s="3" customFormat="1" ht="18.75" spans="1:5">
      <c r="A1436" s="8" t="str">
        <f t="shared" si="25"/>
        <v>250007</v>
      </c>
      <c r="B1436" s="8" t="str">
        <f>"2561401015013"</f>
        <v>2561401015013</v>
      </c>
      <c r="C1436" s="8" t="s">
        <v>7</v>
      </c>
      <c r="D1436" s="9">
        <v>45.89</v>
      </c>
      <c r="E1436" s="8">
        <v>167</v>
      </c>
    </row>
    <row r="1437" s="3" customFormat="1" ht="18.75" spans="1:5">
      <c r="A1437" s="8" t="str">
        <f t="shared" si="25"/>
        <v>250007</v>
      </c>
      <c r="B1437" s="8" t="str">
        <f>"2561401014317"</f>
        <v>2561401014317</v>
      </c>
      <c r="C1437" s="8" t="s">
        <v>7</v>
      </c>
      <c r="D1437" s="9">
        <v>45.6</v>
      </c>
      <c r="E1437" s="8">
        <v>168</v>
      </c>
    </row>
    <row r="1438" s="3" customFormat="1" ht="18.75" spans="1:5">
      <c r="A1438" s="8" t="str">
        <f t="shared" si="25"/>
        <v>250007</v>
      </c>
      <c r="B1438" s="8" t="str">
        <f>"2561401014811"</f>
        <v>2561401014811</v>
      </c>
      <c r="C1438" s="8" t="s">
        <v>7</v>
      </c>
      <c r="D1438" s="9">
        <v>45.5</v>
      </c>
      <c r="E1438" s="8">
        <v>169</v>
      </c>
    </row>
    <row r="1439" s="3" customFormat="1" ht="18.75" spans="1:5">
      <c r="A1439" s="8" t="str">
        <f t="shared" si="25"/>
        <v>250007</v>
      </c>
      <c r="B1439" s="8" t="str">
        <f>"2561401014902"</f>
        <v>2561401014902</v>
      </c>
      <c r="C1439" s="8" t="s">
        <v>7</v>
      </c>
      <c r="D1439" s="9">
        <v>45.04</v>
      </c>
      <c r="E1439" s="8">
        <v>170</v>
      </c>
    </row>
    <row r="1440" s="3" customFormat="1" ht="18.75" spans="1:5">
      <c r="A1440" s="8" t="str">
        <f t="shared" si="25"/>
        <v>250007</v>
      </c>
      <c r="B1440" s="8" t="str">
        <f>"2561401014518"</f>
        <v>2561401014518</v>
      </c>
      <c r="C1440" s="8" t="s">
        <v>7</v>
      </c>
      <c r="D1440" s="9">
        <v>44.72</v>
      </c>
      <c r="E1440" s="8">
        <v>171</v>
      </c>
    </row>
    <row r="1441" s="3" customFormat="1" ht="18.75" spans="1:5">
      <c r="A1441" s="8" t="str">
        <f t="shared" si="25"/>
        <v>250007</v>
      </c>
      <c r="B1441" s="8" t="str">
        <f>"2561401015211"</f>
        <v>2561401015211</v>
      </c>
      <c r="C1441" s="8" t="s">
        <v>7</v>
      </c>
      <c r="D1441" s="9">
        <v>44.64</v>
      </c>
      <c r="E1441" s="8">
        <v>172</v>
      </c>
    </row>
    <row r="1442" s="3" customFormat="1" ht="18.75" spans="1:5">
      <c r="A1442" s="8" t="str">
        <f t="shared" si="25"/>
        <v>250007</v>
      </c>
      <c r="B1442" s="8" t="str">
        <f>"2561401015208"</f>
        <v>2561401015208</v>
      </c>
      <c r="C1442" s="8" t="s">
        <v>7</v>
      </c>
      <c r="D1442" s="9">
        <v>44.63</v>
      </c>
      <c r="E1442" s="8">
        <v>173</v>
      </c>
    </row>
    <row r="1443" s="3" customFormat="1" ht="18.75" spans="1:5">
      <c r="A1443" s="8" t="str">
        <f t="shared" si="25"/>
        <v>250007</v>
      </c>
      <c r="B1443" s="8" t="str">
        <f>"2561401014320"</f>
        <v>2561401014320</v>
      </c>
      <c r="C1443" s="8" t="s">
        <v>7</v>
      </c>
      <c r="D1443" s="9">
        <v>44.54</v>
      </c>
      <c r="E1443" s="8">
        <v>174</v>
      </c>
    </row>
    <row r="1444" s="3" customFormat="1" ht="18.75" spans="1:5">
      <c r="A1444" s="8" t="str">
        <f t="shared" si="25"/>
        <v>250007</v>
      </c>
      <c r="B1444" s="8" t="str">
        <f>"2561401014329"</f>
        <v>2561401014329</v>
      </c>
      <c r="C1444" s="8" t="s">
        <v>7</v>
      </c>
      <c r="D1444" s="9">
        <v>43.97</v>
      </c>
      <c r="E1444" s="8">
        <v>175</v>
      </c>
    </row>
    <row r="1445" s="3" customFormat="1" ht="18.75" spans="1:5">
      <c r="A1445" s="8" t="str">
        <f t="shared" si="25"/>
        <v>250007</v>
      </c>
      <c r="B1445" s="8" t="str">
        <f>"2561401014927"</f>
        <v>2561401014927</v>
      </c>
      <c r="C1445" s="8" t="s">
        <v>7</v>
      </c>
      <c r="D1445" s="9">
        <v>43.46</v>
      </c>
      <c r="E1445" s="8">
        <v>176</v>
      </c>
    </row>
    <row r="1446" s="3" customFormat="1" ht="18.75" spans="1:5">
      <c r="A1446" s="8" t="str">
        <f t="shared" si="25"/>
        <v>250007</v>
      </c>
      <c r="B1446" s="8" t="str">
        <f>"2561401014420"</f>
        <v>2561401014420</v>
      </c>
      <c r="C1446" s="8" t="s">
        <v>7</v>
      </c>
      <c r="D1446" s="9">
        <v>43.14</v>
      </c>
      <c r="E1446" s="8">
        <v>177</v>
      </c>
    </row>
    <row r="1447" s="3" customFormat="1" ht="18.75" spans="1:5">
      <c r="A1447" s="8" t="str">
        <f t="shared" si="25"/>
        <v>250007</v>
      </c>
      <c r="B1447" s="8" t="str">
        <f>"2561401014804"</f>
        <v>2561401014804</v>
      </c>
      <c r="C1447" s="8" t="s">
        <v>7</v>
      </c>
      <c r="D1447" s="9">
        <v>43.04</v>
      </c>
      <c r="E1447" s="8">
        <v>178</v>
      </c>
    </row>
    <row r="1448" s="3" customFormat="1" ht="18.75" spans="1:5">
      <c r="A1448" s="8" t="str">
        <f t="shared" si="25"/>
        <v>250007</v>
      </c>
      <c r="B1448" s="8" t="str">
        <f>"2561401014821"</f>
        <v>2561401014821</v>
      </c>
      <c r="C1448" s="8" t="s">
        <v>7</v>
      </c>
      <c r="D1448" s="9">
        <v>42.33</v>
      </c>
      <c r="E1448" s="8">
        <v>179</v>
      </c>
    </row>
    <row r="1449" s="3" customFormat="1" ht="18.75" spans="1:5">
      <c r="A1449" s="8" t="str">
        <f t="shared" si="25"/>
        <v>250007</v>
      </c>
      <c r="B1449" s="8" t="str">
        <f>"2561401015129"</f>
        <v>2561401015129</v>
      </c>
      <c r="C1449" s="8" t="s">
        <v>7</v>
      </c>
      <c r="D1449" s="9">
        <v>41.97</v>
      </c>
      <c r="E1449" s="8">
        <v>180</v>
      </c>
    </row>
    <row r="1450" s="3" customFormat="1" ht="18.75" spans="1:5">
      <c r="A1450" s="8" t="str">
        <f t="shared" si="25"/>
        <v>250007</v>
      </c>
      <c r="B1450" s="8" t="str">
        <f>"2561401014729"</f>
        <v>2561401014729</v>
      </c>
      <c r="C1450" s="8" t="s">
        <v>7</v>
      </c>
      <c r="D1450" s="9">
        <v>41.64</v>
      </c>
      <c r="E1450" s="8">
        <v>181</v>
      </c>
    </row>
    <row r="1451" s="3" customFormat="1" ht="18.75" spans="1:5">
      <c r="A1451" s="8" t="str">
        <f t="shared" si="25"/>
        <v>250007</v>
      </c>
      <c r="B1451" s="8" t="str">
        <f>"2561401014325"</f>
        <v>2561401014325</v>
      </c>
      <c r="C1451" s="8" t="s">
        <v>7</v>
      </c>
      <c r="D1451" s="9">
        <v>41.48</v>
      </c>
      <c r="E1451" s="8">
        <v>182</v>
      </c>
    </row>
    <row r="1452" s="3" customFormat="1" ht="18.75" spans="1:5">
      <c r="A1452" s="8" t="str">
        <f t="shared" si="25"/>
        <v>250007</v>
      </c>
      <c r="B1452" s="8" t="str">
        <f>"2561401015030"</f>
        <v>2561401015030</v>
      </c>
      <c r="C1452" s="8" t="s">
        <v>7</v>
      </c>
      <c r="D1452" s="9">
        <v>40.58</v>
      </c>
      <c r="E1452" s="8">
        <v>183</v>
      </c>
    </row>
    <row r="1453" s="3" customFormat="1" ht="18.75" spans="1:5">
      <c r="A1453" s="8" t="str">
        <f t="shared" si="25"/>
        <v>250007</v>
      </c>
      <c r="B1453" s="8" t="str">
        <f>"2561401014520"</f>
        <v>2561401014520</v>
      </c>
      <c r="C1453" s="8" t="s">
        <v>7</v>
      </c>
      <c r="D1453" s="9">
        <v>39.53</v>
      </c>
      <c r="E1453" s="8">
        <v>184</v>
      </c>
    </row>
    <row r="1454" s="3" customFormat="1" ht="18.75" spans="1:5">
      <c r="A1454" s="8" t="str">
        <f t="shared" si="25"/>
        <v>250007</v>
      </c>
      <c r="B1454" s="8" t="str">
        <f>"2561401014326"</f>
        <v>2561401014326</v>
      </c>
      <c r="C1454" s="8" t="s">
        <v>7</v>
      </c>
      <c r="D1454" s="9">
        <v>38.37</v>
      </c>
      <c r="E1454" s="8">
        <v>185</v>
      </c>
    </row>
    <row r="1455" s="3" customFormat="1" ht="18.75" spans="1:5">
      <c r="A1455" s="8" t="str">
        <f t="shared" si="25"/>
        <v>250007</v>
      </c>
      <c r="B1455" s="8" t="str">
        <f>"2561401014901"</f>
        <v>2561401014901</v>
      </c>
      <c r="C1455" s="8" t="s">
        <v>7</v>
      </c>
      <c r="D1455" s="9">
        <v>38.37</v>
      </c>
      <c r="E1455" s="8">
        <v>185</v>
      </c>
    </row>
    <row r="1456" s="3" customFormat="1" ht="18.75" spans="1:5">
      <c r="A1456" s="8" t="str">
        <f t="shared" si="25"/>
        <v>250007</v>
      </c>
      <c r="B1456" s="8" t="str">
        <f>"2561401015108"</f>
        <v>2561401015108</v>
      </c>
      <c r="C1456" s="8" t="s">
        <v>7</v>
      </c>
      <c r="D1456" s="9">
        <v>36.78</v>
      </c>
      <c r="E1456" s="8">
        <v>187</v>
      </c>
    </row>
    <row r="1457" s="3" customFormat="1" ht="18.75" spans="1:5">
      <c r="A1457" s="8" t="str">
        <f t="shared" si="25"/>
        <v>250007</v>
      </c>
      <c r="B1457" s="8" t="str">
        <f>"2561401014710"</f>
        <v>2561401014710</v>
      </c>
      <c r="C1457" s="8" t="s">
        <v>7</v>
      </c>
      <c r="D1457" s="9">
        <v>32.97</v>
      </c>
      <c r="E1457" s="8">
        <v>188</v>
      </c>
    </row>
    <row r="1458" s="3" customFormat="1" ht="18.75" spans="1:5">
      <c r="A1458" s="8" t="str">
        <f t="shared" si="25"/>
        <v>250007</v>
      </c>
      <c r="B1458" s="8" t="str">
        <f>"2561401014404"</f>
        <v>2561401014404</v>
      </c>
      <c r="C1458" s="8" t="s">
        <v>7</v>
      </c>
      <c r="D1458" s="9">
        <v>31.68</v>
      </c>
      <c r="E1458" s="8">
        <v>189</v>
      </c>
    </row>
    <row r="1459" s="3" customFormat="1" ht="18.75" spans="1:5">
      <c r="A1459" s="8" t="str">
        <f t="shared" si="25"/>
        <v>250007</v>
      </c>
      <c r="B1459" s="8" t="str">
        <f>"2561401014802"</f>
        <v>2561401014802</v>
      </c>
      <c r="C1459" s="8" t="s">
        <v>7</v>
      </c>
      <c r="D1459" s="9">
        <v>30.43</v>
      </c>
      <c r="E1459" s="8">
        <v>190</v>
      </c>
    </row>
    <row r="1460" s="3" customFormat="1" ht="18.75" spans="1:5">
      <c r="A1460" s="8" t="str">
        <f t="shared" si="25"/>
        <v>250007</v>
      </c>
      <c r="B1460" s="8" t="str">
        <f>"2561401015005"</f>
        <v>2561401015005</v>
      </c>
      <c r="C1460" s="8" t="s">
        <v>7</v>
      </c>
      <c r="D1460" s="9">
        <v>29.52</v>
      </c>
      <c r="E1460" s="8">
        <v>191</v>
      </c>
    </row>
    <row r="1461" s="3" customFormat="1" ht="18.75" spans="1:5">
      <c r="A1461" s="8" t="str">
        <f t="shared" si="25"/>
        <v>250007</v>
      </c>
      <c r="B1461" s="8" t="str">
        <f>"2561401014906"</f>
        <v>2561401014906</v>
      </c>
      <c r="C1461" s="8" t="s">
        <v>7</v>
      </c>
      <c r="D1461" s="9">
        <v>26.76</v>
      </c>
      <c r="E1461" s="8">
        <v>192</v>
      </c>
    </row>
    <row r="1462" s="3" customFormat="1" ht="18.75" spans="1:5">
      <c r="A1462" s="8" t="str">
        <f t="shared" ref="A1462:A1525" si="26">"250007"</f>
        <v>250007</v>
      </c>
      <c r="B1462" s="8" t="str">
        <f>"2561401015107"</f>
        <v>2561401015107</v>
      </c>
      <c r="C1462" s="8" t="s">
        <v>7</v>
      </c>
      <c r="D1462" s="9">
        <v>19.96</v>
      </c>
      <c r="E1462" s="8">
        <v>193</v>
      </c>
    </row>
    <row r="1463" s="3" customFormat="1" ht="18.75" spans="1:5">
      <c r="A1463" s="8" t="str">
        <f t="shared" si="26"/>
        <v>250007</v>
      </c>
      <c r="B1463" s="8" t="str">
        <f>"2561401014310"</f>
        <v>2561401014310</v>
      </c>
      <c r="C1463" s="8" t="s">
        <v>7</v>
      </c>
      <c r="D1463" s="9">
        <v>0</v>
      </c>
      <c r="E1463" s="8">
        <v>194</v>
      </c>
    </row>
    <row r="1464" s="3" customFormat="1" ht="18.75" spans="1:5">
      <c r="A1464" s="8" t="str">
        <f t="shared" si="26"/>
        <v>250007</v>
      </c>
      <c r="B1464" s="8" t="str">
        <f>"2561401014321"</f>
        <v>2561401014321</v>
      </c>
      <c r="C1464" s="8" t="s">
        <v>7</v>
      </c>
      <c r="D1464" s="9">
        <v>0</v>
      </c>
      <c r="E1464" s="8">
        <v>194</v>
      </c>
    </row>
    <row r="1465" s="3" customFormat="1" ht="18.75" spans="1:5">
      <c r="A1465" s="8" t="str">
        <f t="shared" si="26"/>
        <v>250007</v>
      </c>
      <c r="B1465" s="8" t="str">
        <f>"2561401014323"</f>
        <v>2561401014323</v>
      </c>
      <c r="C1465" s="8" t="s">
        <v>7</v>
      </c>
      <c r="D1465" s="9">
        <v>0</v>
      </c>
      <c r="E1465" s="8">
        <v>194</v>
      </c>
    </row>
    <row r="1466" s="3" customFormat="1" ht="18.75" spans="1:5">
      <c r="A1466" s="8" t="str">
        <f t="shared" si="26"/>
        <v>250007</v>
      </c>
      <c r="B1466" s="8" t="str">
        <f>"2561401014324"</f>
        <v>2561401014324</v>
      </c>
      <c r="C1466" s="8" t="s">
        <v>7</v>
      </c>
      <c r="D1466" s="9">
        <v>0</v>
      </c>
      <c r="E1466" s="8">
        <v>194</v>
      </c>
    </row>
    <row r="1467" s="3" customFormat="1" ht="18.75" spans="1:5">
      <c r="A1467" s="8" t="str">
        <f t="shared" si="26"/>
        <v>250007</v>
      </c>
      <c r="B1467" s="8" t="str">
        <f>"2561401014330"</f>
        <v>2561401014330</v>
      </c>
      <c r="C1467" s="8" t="s">
        <v>7</v>
      </c>
      <c r="D1467" s="9">
        <v>0</v>
      </c>
      <c r="E1467" s="8">
        <v>194</v>
      </c>
    </row>
    <row r="1468" s="3" customFormat="1" ht="18.75" spans="1:5">
      <c r="A1468" s="8" t="str">
        <f t="shared" si="26"/>
        <v>250007</v>
      </c>
      <c r="B1468" s="8" t="str">
        <f>"2561401014405"</f>
        <v>2561401014405</v>
      </c>
      <c r="C1468" s="8" t="s">
        <v>7</v>
      </c>
      <c r="D1468" s="9">
        <v>0</v>
      </c>
      <c r="E1468" s="8">
        <v>194</v>
      </c>
    </row>
    <row r="1469" s="3" customFormat="1" ht="18.75" spans="1:5">
      <c r="A1469" s="8" t="str">
        <f t="shared" si="26"/>
        <v>250007</v>
      </c>
      <c r="B1469" s="8" t="str">
        <f>"2561401014409"</f>
        <v>2561401014409</v>
      </c>
      <c r="C1469" s="8" t="s">
        <v>7</v>
      </c>
      <c r="D1469" s="9">
        <v>0</v>
      </c>
      <c r="E1469" s="8">
        <v>194</v>
      </c>
    </row>
    <row r="1470" s="3" customFormat="1" ht="18.75" spans="1:5">
      <c r="A1470" s="8" t="str">
        <f t="shared" si="26"/>
        <v>250007</v>
      </c>
      <c r="B1470" s="8" t="str">
        <f>"2561401014411"</f>
        <v>2561401014411</v>
      </c>
      <c r="C1470" s="8" t="s">
        <v>7</v>
      </c>
      <c r="D1470" s="9">
        <v>0</v>
      </c>
      <c r="E1470" s="8">
        <v>194</v>
      </c>
    </row>
    <row r="1471" s="3" customFormat="1" ht="18.75" spans="1:5">
      <c r="A1471" s="8" t="str">
        <f t="shared" si="26"/>
        <v>250007</v>
      </c>
      <c r="B1471" s="8" t="str">
        <f>"2561401014412"</f>
        <v>2561401014412</v>
      </c>
      <c r="C1471" s="8" t="s">
        <v>7</v>
      </c>
      <c r="D1471" s="9">
        <v>0</v>
      </c>
      <c r="E1471" s="8">
        <v>194</v>
      </c>
    </row>
    <row r="1472" s="3" customFormat="1" ht="18.75" spans="1:5">
      <c r="A1472" s="8" t="str">
        <f t="shared" si="26"/>
        <v>250007</v>
      </c>
      <c r="B1472" s="8" t="str">
        <f>"2561401014413"</f>
        <v>2561401014413</v>
      </c>
      <c r="C1472" s="8" t="s">
        <v>7</v>
      </c>
      <c r="D1472" s="9">
        <v>0</v>
      </c>
      <c r="E1472" s="8">
        <v>194</v>
      </c>
    </row>
    <row r="1473" s="3" customFormat="1" ht="18.75" spans="1:5">
      <c r="A1473" s="8" t="str">
        <f t="shared" si="26"/>
        <v>250007</v>
      </c>
      <c r="B1473" s="8" t="str">
        <f>"2561401014416"</f>
        <v>2561401014416</v>
      </c>
      <c r="C1473" s="8" t="s">
        <v>7</v>
      </c>
      <c r="D1473" s="9">
        <v>0</v>
      </c>
      <c r="E1473" s="8">
        <v>194</v>
      </c>
    </row>
    <row r="1474" s="3" customFormat="1" ht="18.75" spans="1:5">
      <c r="A1474" s="8" t="str">
        <f t="shared" si="26"/>
        <v>250007</v>
      </c>
      <c r="B1474" s="8" t="str">
        <f>"2561401014417"</f>
        <v>2561401014417</v>
      </c>
      <c r="C1474" s="8" t="s">
        <v>7</v>
      </c>
      <c r="D1474" s="9">
        <v>0</v>
      </c>
      <c r="E1474" s="8">
        <v>194</v>
      </c>
    </row>
    <row r="1475" s="3" customFormat="1" ht="18.75" spans="1:5">
      <c r="A1475" s="8" t="str">
        <f t="shared" si="26"/>
        <v>250007</v>
      </c>
      <c r="B1475" s="8" t="str">
        <f>"2561401014418"</f>
        <v>2561401014418</v>
      </c>
      <c r="C1475" s="8" t="s">
        <v>7</v>
      </c>
      <c r="D1475" s="9">
        <v>0</v>
      </c>
      <c r="E1475" s="8">
        <v>194</v>
      </c>
    </row>
    <row r="1476" s="3" customFormat="1" ht="18.75" spans="1:5">
      <c r="A1476" s="8" t="str">
        <f t="shared" si="26"/>
        <v>250007</v>
      </c>
      <c r="B1476" s="8" t="str">
        <f>"2561401014419"</f>
        <v>2561401014419</v>
      </c>
      <c r="C1476" s="8" t="s">
        <v>7</v>
      </c>
      <c r="D1476" s="9">
        <v>0</v>
      </c>
      <c r="E1476" s="8">
        <v>194</v>
      </c>
    </row>
    <row r="1477" s="3" customFormat="1" ht="18.75" spans="1:5">
      <c r="A1477" s="8" t="str">
        <f t="shared" si="26"/>
        <v>250007</v>
      </c>
      <c r="B1477" s="8" t="str">
        <f>"2561401014421"</f>
        <v>2561401014421</v>
      </c>
      <c r="C1477" s="8" t="s">
        <v>7</v>
      </c>
      <c r="D1477" s="9">
        <v>0</v>
      </c>
      <c r="E1477" s="8">
        <v>194</v>
      </c>
    </row>
    <row r="1478" s="3" customFormat="1" ht="18.75" spans="1:5">
      <c r="A1478" s="8" t="str">
        <f t="shared" si="26"/>
        <v>250007</v>
      </c>
      <c r="B1478" s="8" t="str">
        <f>"2561401014423"</f>
        <v>2561401014423</v>
      </c>
      <c r="C1478" s="8" t="s">
        <v>7</v>
      </c>
      <c r="D1478" s="9">
        <v>0</v>
      </c>
      <c r="E1478" s="8">
        <v>194</v>
      </c>
    </row>
    <row r="1479" s="3" customFormat="1" ht="18.75" spans="1:5">
      <c r="A1479" s="8" t="str">
        <f t="shared" si="26"/>
        <v>250007</v>
      </c>
      <c r="B1479" s="8" t="str">
        <f>"2561401014424"</f>
        <v>2561401014424</v>
      </c>
      <c r="C1479" s="8" t="s">
        <v>7</v>
      </c>
      <c r="D1479" s="9">
        <v>0</v>
      </c>
      <c r="E1479" s="8">
        <v>194</v>
      </c>
    </row>
    <row r="1480" s="3" customFormat="1" ht="18.75" spans="1:5">
      <c r="A1480" s="8" t="str">
        <f t="shared" si="26"/>
        <v>250007</v>
      </c>
      <c r="B1480" s="8" t="str">
        <f>"2561401014425"</f>
        <v>2561401014425</v>
      </c>
      <c r="C1480" s="8" t="s">
        <v>7</v>
      </c>
      <c r="D1480" s="9">
        <v>0</v>
      </c>
      <c r="E1480" s="8">
        <v>194</v>
      </c>
    </row>
    <row r="1481" s="3" customFormat="1" ht="18.75" spans="1:5">
      <c r="A1481" s="8" t="str">
        <f t="shared" si="26"/>
        <v>250007</v>
      </c>
      <c r="B1481" s="8" t="str">
        <f>"2561401014503"</f>
        <v>2561401014503</v>
      </c>
      <c r="C1481" s="8" t="s">
        <v>7</v>
      </c>
      <c r="D1481" s="9">
        <v>0</v>
      </c>
      <c r="E1481" s="8">
        <v>194</v>
      </c>
    </row>
    <row r="1482" s="3" customFormat="1" ht="18.75" spans="1:5">
      <c r="A1482" s="8" t="str">
        <f t="shared" si="26"/>
        <v>250007</v>
      </c>
      <c r="B1482" s="8" t="str">
        <f>"2561401014505"</f>
        <v>2561401014505</v>
      </c>
      <c r="C1482" s="8" t="s">
        <v>7</v>
      </c>
      <c r="D1482" s="9">
        <v>0</v>
      </c>
      <c r="E1482" s="8">
        <v>194</v>
      </c>
    </row>
    <row r="1483" s="3" customFormat="1" ht="18.75" spans="1:5">
      <c r="A1483" s="8" t="str">
        <f t="shared" si="26"/>
        <v>250007</v>
      </c>
      <c r="B1483" s="8" t="str">
        <f>"2561401014506"</f>
        <v>2561401014506</v>
      </c>
      <c r="C1483" s="8" t="s">
        <v>7</v>
      </c>
      <c r="D1483" s="9">
        <v>0</v>
      </c>
      <c r="E1483" s="8">
        <v>194</v>
      </c>
    </row>
    <row r="1484" s="3" customFormat="1" ht="18.75" spans="1:5">
      <c r="A1484" s="8" t="str">
        <f t="shared" si="26"/>
        <v>250007</v>
      </c>
      <c r="B1484" s="8" t="str">
        <f>"2561401014510"</f>
        <v>2561401014510</v>
      </c>
      <c r="C1484" s="8" t="s">
        <v>7</v>
      </c>
      <c r="D1484" s="9">
        <v>0</v>
      </c>
      <c r="E1484" s="8">
        <v>194</v>
      </c>
    </row>
    <row r="1485" s="3" customFormat="1" ht="18.75" spans="1:5">
      <c r="A1485" s="8" t="str">
        <f t="shared" si="26"/>
        <v>250007</v>
      </c>
      <c r="B1485" s="8" t="str">
        <f>"2561401014512"</f>
        <v>2561401014512</v>
      </c>
      <c r="C1485" s="8" t="s">
        <v>7</v>
      </c>
      <c r="D1485" s="9">
        <v>0</v>
      </c>
      <c r="E1485" s="8">
        <v>194</v>
      </c>
    </row>
    <row r="1486" s="3" customFormat="1" ht="18.75" spans="1:5">
      <c r="A1486" s="8" t="str">
        <f t="shared" si="26"/>
        <v>250007</v>
      </c>
      <c r="B1486" s="8" t="str">
        <f>"2561401014514"</f>
        <v>2561401014514</v>
      </c>
      <c r="C1486" s="8" t="s">
        <v>7</v>
      </c>
      <c r="D1486" s="9">
        <v>0</v>
      </c>
      <c r="E1486" s="8">
        <v>194</v>
      </c>
    </row>
    <row r="1487" s="3" customFormat="1" ht="18.75" spans="1:5">
      <c r="A1487" s="8" t="str">
        <f t="shared" si="26"/>
        <v>250007</v>
      </c>
      <c r="B1487" s="8" t="str">
        <f>"2561401014515"</f>
        <v>2561401014515</v>
      </c>
      <c r="C1487" s="8" t="s">
        <v>7</v>
      </c>
      <c r="D1487" s="9">
        <v>0</v>
      </c>
      <c r="E1487" s="8">
        <v>194</v>
      </c>
    </row>
    <row r="1488" s="3" customFormat="1" ht="18.75" spans="1:5">
      <c r="A1488" s="8" t="str">
        <f t="shared" si="26"/>
        <v>250007</v>
      </c>
      <c r="B1488" s="8" t="str">
        <f>"2561401014516"</f>
        <v>2561401014516</v>
      </c>
      <c r="C1488" s="8" t="s">
        <v>7</v>
      </c>
      <c r="D1488" s="9">
        <v>0</v>
      </c>
      <c r="E1488" s="8">
        <v>194</v>
      </c>
    </row>
    <row r="1489" s="3" customFormat="1" ht="18.75" spans="1:5">
      <c r="A1489" s="8" t="str">
        <f t="shared" si="26"/>
        <v>250007</v>
      </c>
      <c r="B1489" s="8" t="str">
        <f>"2561401014522"</f>
        <v>2561401014522</v>
      </c>
      <c r="C1489" s="8" t="s">
        <v>7</v>
      </c>
      <c r="D1489" s="9">
        <v>0</v>
      </c>
      <c r="E1489" s="8">
        <v>194</v>
      </c>
    </row>
    <row r="1490" s="3" customFormat="1" ht="18.75" spans="1:5">
      <c r="A1490" s="8" t="str">
        <f t="shared" si="26"/>
        <v>250007</v>
      </c>
      <c r="B1490" s="8" t="str">
        <f>"2561401014525"</f>
        <v>2561401014525</v>
      </c>
      <c r="C1490" s="8" t="s">
        <v>7</v>
      </c>
      <c r="D1490" s="9">
        <v>0</v>
      </c>
      <c r="E1490" s="8">
        <v>194</v>
      </c>
    </row>
    <row r="1491" s="3" customFormat="1" ht="18.75" spans="1:5">
      <c r="A1491" s="8" t="str">
        <f t="shared" si="26"/>
        <v>250007</v>
      </c>
      <c r="B1491" s="8" t="str">
        <f>"2561401014528"</f>
        <v>2561401014528</v>
      </c>
      <c r="C1491" s="8" t="s">
        <v>7</v>
      </c>
      <c r="D1491" s="9">
        <v>0</v>
      </c>
      <c r="E1491" s="8">
        <v>194</v>
      </c>
    </row>
    <row r="1492" s="3" customFormat="1" ht="18.75" spans="1:5">
      <c r="A1492" s="8" t="str">
        <f t="shared" si="26"/>
        <v>250007</v>
      </c>
      <c r="B1492" s="8" t="str">
        <f>"2561401014529"</f>
        <v>2561401014529</v>
      </c>
      <c r="C1492" s="8" t="s">
        <v>7</v>
      </c>
      <c r="D1492" s="9">
        <v>0</v>
      </c>
      <c r="E1492" s="8">
        <v>194</v>
      </c>
    </row>
    <row r="1493" s="3" customFormat="1" ht="18.75" spans="1:5">
      <c r="A1493" s="8" t="str">
        <f t="shared" si="26"/>
        <v>250007</v>
      </c>
      <c r="B1493" s="8" t="str">
        <f>"2561401014603"</f>
        <v>2561401014603</v>
      </c>
      <c r="C1493" s="8" t="s">
        <v>7</v>
      </c>
      <c r="D1493" s="9">
        <v>0</v>
      </c>
      <c r="E1493" s="8">
        <v>194</v>
      </c>
    </row>
    <row r="1494" s="3" customFormat="1" ht="18.75" spans="1:5">
      <c r="A1494" s="8" t="str">
        <f t="shared" si="26"/>
        <v>250007</v>
      </c>
      <c r="B1494" s="8" t="str">
        <f>"2561401014608"</f>
        <v>2561401014608</v>
      </c>
      <c r="C1494" s="8" t="s">
        <v>7</v>
      </c>
      <c r="D1494" s="9">
        <v>0</v>
      </c>
      <c r="E1494" s="8">
        <v>194</v>
      </c>
    </row>
    <row r="1495" s="3" customFormat="1" ht="18.75" spans="1:5">
      <c r="A1495" s="8" t="str">
        <f t="shared" si="26"/>
        <v>250007</v>
      </c>
      <c r="B1495" s="8" t="str">
        <f>"2561401014612"</f>
        <v>2561401014612</v>
      </c>
      <c r="C1495" s="8" t="s">
        <v>7</v>
      </c>
      <c r="D1495" s="9">
        <v>0</v>
      </c>
      <c r="E1495" s="8">
        <v>194</v>
      </c>
    </row>
    <row r="1496" s="3" customFormat="1" ht="18.75" spans="1:5">
      <c r="A1496" s="8" t="str">
        <f t="shared" si="26"/>
        <v>250007</v>
      </c>
      <c r="B1496" s="8" t="str">
        <f>"2561401014614"</f>
        <v>2561401014614</v>
      </c>
      <c r="C1496" s="8" t="s">
        <v>7</v>
      </c>
      <c r="D1496" s="9">
        <v>0</v>
      </c>
      <c r="E1496" s="8">
        <v>194</v>
      </c>
    </row>
    <row r="1497" s="3" customFormat="1" ht="18.75" spans="1:5">
      <c r="A1497" s="8" t="str">
        <f t="shared" si="26"/>
        <v>250007</v>
      </c>
      <c r="B1497" s="8" t="str">
        <f>"2561401014616"</f>
        <v>2561401014616</v>
      </c>
      <c r="C1497" s="8" t="s">
        <v>7</v>
      </c>
      <c r="D1497" s="9">
        <v>0</v>
      </c>
      <c r="E1497" s="8">
        <v>194</v>
      </c>
    </row>
    <row r="1498" s="3" customFormat="1" ht="18.75" spans="1:5">
      <c r="A1498" s="8" t="str">
        <f t="shared" si="26"/>
        <v>250007</v>
      </c>
      <c r="B1498" s="8" t="str">
        <f>"2561401014620"</f>
        <v>2561401014620</v>
      </c>
      <c r="C1498" s="8" t="s">
        <v>7</v>
      </c>
      <c r="D1498" s="9">
        <v>0</v>
      </c>
      <c r="E1498" s="8">
        <v>194</v>
      </c>
    </row>
    <row r="1499" s="3" customFormat="1" ht="18.75" spans="1:5">
      <c r="A1499" s="8" t="str">
        <f t="shared" si="26"/>
        <v>250007</v>
      </c>
      <c r="B1499" s="8" t="str">
        <f>"2561401014625"</f>
        <v>2561401014625</v>
      </c>
      <c r="C1499" s="8" t="s">
        <v>7</v>
      </c>
      <c r="D1499" s="9">
        <v>0</v>
      </c>
      <c r="E1499" s="8">
        <v>194</v>
      </c>
    </row>
    <row r="1500" s="3" customFormat="1" ht="18.75" spans="1:5">
      <c r="A1500" s="8" t="str">
        <f t="shared" si="26"/>
        <v>250007</v>
      </c>
      <c r="B1500" s="8" t="str">
        <f>"2561401014627"</f>
        <v>2561401014627</v>
      </c>
      <c r="C1500" s="8" t="s">
        <v>7</v>
      </c>
      <c r="D1500" s="9">
        <v>0</v>
      </c>
      <c r="E1500" s="8">
        <v>194</v>
      </c>
    </row>
    <row r="1501" s="3" customFormat="1" ht="18.75" spans="1:5">
      <c r="A1501" s="8" t="str">
        <f t="shared" si="26"/>
        <v>250007</v>
      </c>
      <c r="B1501" s="8" t="str">
        <f>"2561401014701"</f>
        <v>2561401014701</v>
      </c>
      <c r="C1501" s="8" t="s">
        <v>7</v>
      </c>
      <c r="D1501" s="9">
        <v>0</v>
      </c>
      <c r="E1501" s="8">
        <v>194</v>
      </c>
    </row>
    <row r="1502" s="3" customFormat="1" ht="18.75" spans="1:5">
      <c r="A1502" s="8" t="str">
        <f t="shared" si="26"/>
        <v>250007</v>
      </c>
      <c r="B1502" s="8" t="str">
        <f>"2561401014711"</f>
        <v>2561401014711</v>
      </c>
      <c r="C1502" s="8" t="s">
        <v>7</v>
      </c>
      <c r="D1502" s="9">
        <v>0</v>
      </c>
      <c r="E1502" s="8">
        <v>194</v>
      </c>
    </row>
    <row r="1503" s="3" customFormat="1" ht="18.75" spans="1:5">
      <c r="A1503" s="8" t="str">
        <f t="shared" si="26"/>
        <v>250007</v>
      </c>
      <c r="B1503" s="8" t="str">
        <f>"2561401014713"</f>
        <v>2561401014713</v>
      </c>
      <c r="C1503" s="8" t="s">
        <v>7</v>
      </c>
      <c r="D1503" s="9">
        <v>0</v>
      </c>
      <c r="E1503" s="8">
        <v>194</v>
      </c>
    </row>
    <row r="1504" s="3" customFormat="1" ht="18.75" spans="1:5">
      <c r="A1504" s="8" t="str">
        <f t="shared" si="26"/>
        <v>250007</v>
      </c>
      <c r="B1504" s="8" t="str">
        <f>"2561401014714"</f>
        <v>2561401014714</v>
      </c>
      <c r="C1504" s="8" t="s">
        <v>7</v>
      </c>
      <c r="D1504" s="9">
        <v>0</v>
      </c>
      <c r="E1504" s="8">
        <v>194</v>
      </c>
    </row>
    <row r="1505" s="3" customFormat="1" ht="18.75" spans="1:5">
      <c r="A1505" s="8" t="str">
        <f t="shared" si="26"/>
        <v>250007</v>
      </c>
      <c r="B1505" s="8" t="str">
        <f>"2561401014715"</f>
        <v>2561401014715</v>
      </c>
      <c r="C1505" s="8" t="s">
        <v>7</v>
      </c>
      <c r="D1505" s="9">
        <v>0</v>
      </c>
      <c r="E1505" s="8">
        <v>194</v>
      </c>
    </row>
    <row r="1506" s="3" customFormat="1" ht="18.75" spans="1:5">
      <c r="A1506" s="8" t="str">
        <f t="shared" si="26"/>
        <v>250007</v>
      </c>
      <c r="B1506" s="8" t="str">
        <f>"2561401014716"</f>
        <v>2561401014716</v>
      </c>
      <c r="C1506" s="8" t="s">
        <v>7</v>
      </c>
      <c r="D1506" s="9">
        <v>0</v>
      </c>
      <c r="E1506" s="8">
        <v>194</v>
      </c>
    </row>
    <row r="1507" s="3" customFormat="1" ht="18.75" spans="1:5">
      <c r="A1507" s="8" t="str">
        <f t="shared" si="26"/>
        <v>250007</v>
      </c>
      <c r="B1507" s="8" t="str">
        <f>"2561401014718"</f>
        <v>2561401014718</v>
      </c>
      <c r="C1507" s="8" t="s">
        <v>7</v>
      </c>
      <c r="D1507" s="9">
        <v>0</v>
      </c>
      <c r="E1507" s="8">
        <v>194</v>
      </c>
    </row>
    <row r="1508" s="3" customFormat="1" ht="18.75" spans="1:5">
      <c r="A1508" s="8" t="str">
        <f t="shared" si="26"/>
        <v>250007</v>
      </c>
      <c r="B1508" s="8" t="str">
        <f>"2561401014722"</f>
        <v>2561401014722</v>
      </c>
      <c r="C1508" s="8" t="s">
        <v>7</v>
      </c>
      <c r="D1508" s="9">
        <v>0</v>
      </c>
      <c r="E1508" s="8">
        <v>194</v>
      </c>
    </row>
    <row r="1509" s="3" customFormat="1" ht="18.75" spans="1:5">
      <c r="A1509" s="8" t="str">
        <f t="shared" si="26"/>
        <v>250007</v>
      </c>
      <c r="B1509" s="8" t="str">
        <f>"2561401014725"</f>
        <v>2561401014725</v>
      </c>
      <c r="C1509" s="8" t="s">
        <v>7</v>
      </c>
      <c r="D1509" s="9">
        <v>0</v>
      </c>
      <c r="E1509" s="8">
        <v>194</v>
      </c>
    </row>
    <row r="1510" s="3" customFormat="1" ht="18.75" spans="1:5">
      <c r="A1510" s="8" t="str">
        <f t="shared" si="26"/>
        <v>250007</v>
      </c>
      <c r="B1510" s="8" t="str">
        <f>"2561401014726"</f>
        <v>2561401014726</v>
      </c>
      <c r="C1510" s="8" t="s">
        <v>7</v>
      </c>
      <c r="D1510" s="9">
        <v>0</v>
      </c>
      <c r="E1510" s="8">
        <v>194</v>
      </c>
    </row>
    <row r="1511" s="3" customFormat="1" ht="18.75" spans="1:5">
      <c r="A1511" s="8" t="str">
        <f t="shared" si="26"/>
        <v>250007</v>
      </c>
      <c r="B1511" s="8" t="str">
        <f>"2561401014728"</f>
        <v>2561401014728</v>
      </c>
      <c r="C1511" s="8" t="s">
        <v>7</v>
      </c>
      <c r="D1511" s="9">
        <v>0</v>
      </c>
      <c r="E1511" s="8">
        <v>194</v>
      </c>
    </row>
    <row r="1512" s="3" customFormat="1" ht="18.75" spans="1:5">
      <c r="A1512" s="8" t="str">
        <f t="shared" si="26"/>
        <v>250007</v>
      </c>
      <c r="B1512" s="8" t="str">
        <f>"2561401014730"</f>
        <v>2561401014730</v>
      </c>
      <c r="C1512" s="8" t="s">
        <v>7</v>
      </c>
      <c r="D1512" s="9">
        <v>0</v>
      </c>
      <c r="E1512" s="8">
        <v>194</v>
      </c>
    </row>
    <row r="1513" s="3" customFormat="1" ht="18.75" spans="1:5">
      <c r="A1513" s="8" t="str">
        <f t="shared" si="26"/>
        <v>250007</v>
      </c>
      <c r="B1513" s="8" t="str">
        <f>"2561401014801"</f>
        <v>2561401014801</v>
      </c>
      <c r="C1513" s="8" t="s">
        <v>7</v>
      </c>
      <c r="D1513" s="9">
        <v>0</v>
      </c>
      <c r="E1513" s="8">
        <v>194</v>
      </c>
    </row>
    <row r="1514" s="3" customFormat="1" ht="18.75" spans="1:5">
      <c r="A1514" s="8" t="str">
        <f t="shared" si="26"/>
        <v>250007</v>
      </c>
      <c r="B1514" s="8" t="str">
        <f>"2561401014803"</f>
        <v>2561401014803</v>
      </c>
      <c r="C1514" s="8" t="s">
        <v>7</v>
      </c>
      <c r="D1514" s="9">
        <v>0</v>
      </c>
      <c r="E1514" s="8">
        <v>194</v>
      </c>
    </row>
    <row r="1515" s="3" customFormat="1" ht="18.75" spans="1:5">
      <c r="A1515" s="8" t="str">
        <f t="shared" si="26"/>
        <v>250007</v>
      </c>
      <c r="B1515" s="8" t="str">
        <f>"2561401014805"</f>
        <v>2561401014805</v>
      </c>
      <c r="C1515" s="8" t="s">
        <v>7</v>
      </c>
      <c r="D1515" s="9">
        <v>0</v>
      </c>
      <c r="E1515" s="8">
        <v>194</v>
      </c>
    </row>
    <row r="1516" s="3" customFormat="1" ht="18.75" spans="1:5">
      <c r="A1516" s="8" t="str">
        <f t="shared" si="26"/>
        <v>250007</v>
      </c>
      <c r="B1516" s="8" t="str">
        <f>"2561401014806"</f>
        <v>2561401014806</v>
      </c>
      <c r="C1516" s="8" t="s">
        <v>7</v>
      </c>
      <c r="D1516" s="9">
        <v>0</v>
      </c>
      <c r="E1516" s="8">
        <v>194</v>
      </c>
    </row>
    <row r="1517" s="3" customFormat="1" ht="18.75" spans="1:5">
      <c r="A1517" s="8" t="str">
        <f t="shared" si="26"/>
        <v>250007</v>
      </c>
      <c r="B1517" s="8" t="str">
        <f>"2561401014807"</f>
        <v>2561401014807</v>
      </c>
      <c r="C1517" s="8" t="s">
        <v>7</v>
      </c>
      <c r="D1517" s="9">
        <v>0</v>
      </c>
      <c r="E1517" s="8">
        <v>194</v>
      </c>
    </row>
    <row r="1518" s="3" customFormat="1" ht="18.75" spans="1:5">
      <c r="A1518" s="8" t="str">
        <f t="shared" si="26"/>
        <v>250007</v>
      </c>
      <c r="B1518" s="8" t="str">
        <f>"2561401014809"</f>
        <v>2561401014809</v>
      </c>
      <c r="C1518" s="8" t="s">
        <v>7</v>
      </c>
      <c r="D1518" s="9">
        <v>0</v>
      </c>
      <c r="E1518" s="8">
        <v>194</v>
      </c>
    </row>
    <row r="1519" s="3" customFormat="1" ht="18.75" spans="1:5">
      <c r="A1519" s="8" t="str">
        <f t="shared" si="26"/>
        <v>250007</v>
      </c>
      <c r="B1519" s="8" t="str">
        <f>"2561401014824"</f>
        <v>2561401014824</v>
      </c>
      <c r="C1519" s="8" t="s">
        <v>7</v>
      </c>
      <c r="D1519" s="9">
        <v>0</v>
      </c>
      <c r="E1519" s="8">
        <v>194</v>
      </c>
    </row>
    <row r="1520" s="3" customFormat="1" ht="18.75" spans="1:5">
      <c r="A1520" s="8" t="str">
        <f t="shared" si="26"/>
        <v>250007</v>
      </c>
      <c r="B1520" s="8" t="str">
        <f>"2561401014827"</f>
        <v>2561401014827</v>
      </c>
      <c r="C1520" s="8" t="s">
        <v>7</v>
      </c>
      <c r="D1520" s="9">
        <v>0</v>
      </c>
      <c r="E1520" s="8">
        <v>194</v>
      </c>
    </row>
    <row r="1521" s="3" customFormat="1" ht="18.75" spans="1:5">
      <c r="A1521" s="8" t="str">
        <f t="shared" si="26"/>
        <v>250007</v>
      </c>
      <c r="B1521" s="8" t="str">
        <f>"2561401014829"</f>
        <v>2561401014829</v>
      </c>
      <c r="C1521" s="8" t="s">
        <v>7</v>
      </c>
      <c r="D1521" s="9">
        <v>0</v>
      </c>
      <c r="E1521" s="8">
        <v>194</v>
      </c>
    </row>
    <row r="1522" s="3" customFormat="1" ht="18.75" spans="1:5">
      <c r="A1522" s="8" t="str">
        <f t="shared" si="26"/>
        <v>250007</v>
      </c>
      <c r="B1522" s="8" t="str">
        <f>"2561401014903"</f>
        <v>2561401014903</v>
      </c>
      <c r="C1522" s="8" t="s">
        <v>7</v>
      </c>
      <c r="D1522" s="9">
        <v>0</v>
      </c>
      <c r="E1522" s="8">
        <v>194</v>
      </c>
    </row>
    <row r="1523" s="3" customFormat="1" ht="18.75" spans="1:5">
      <c r="A1523" s="8" t="str">
        <f t="shared" si="26"/>
        <v>250007</v>
      </c>
      <c r="B1523" s="8" t="str">
        <f>"2561401014905"</f>
        <v>2561401014905</v>
      </c>
      <c r="C1523" s="8" t="s">
        <v>7</v>
      </c>
      <c r="D1523" s="9">
        <v>0</v>
      </c>
      <c r="E1523" s="8">
        <v>194</v>
      </c>
    </row>
    <row r="1524" s="3" customFormat="1" ht="18.75" spans="1:5">
      <c r="A1524" s="8" t="str">
        <f t="shared" si="26"/>
        <v>250007</v>
      </c>
      <c r="B1524" s="8" t="str">
        <f>"2561401014911"</f>
        <v>2561401014911</v>
      </c>
      <c r="C1524" s="8" t="s">
        <v>7</v>
      </c>
      <c r="D1524" s="9">
        <v>0</v>
      </c>
      <c r="E1524" s="8">
        <v>194</v>
      </c>
    </row>
    <row r="1525" s="3" customFormat="1" ht="18.75" spans="1:5">
      <c r="A1525" s="8" t="str">
        <f t="shared" si="26"/>
        <v>250007</v>
      </c>
      <c r="B1525" s="8" t="str">
        <f>"2561401014912"</f>
        <v>2561401014912</v>
      </c>
      <c r="C1525" s="8" t="s">
        <v>7</v>
      </c>
      <c r="D1525" s="9">
        <v>0</v>
      </c>
      <c r="E1525" s="8">
        <v>194</v>
      </c>
    </row>
    <row r="1526" s="3" customFormat="1" ht="18.75" spans="1:5">
      <c r="A1526" s="8" t="str">
        <f t="shared" ref="A1526:A1550" si="27">"250007"</f>
        <v>250007</v>
      </c>
      <c r="B1526" s="8" t="str">
        <f>"2561401014913"</f>
        <v>2561401014913</v>
      </c>
      <c r="C1526" s="8" t="s">
        <v>7</v>
      </c>
      <c r="D1526" s="9">
        <v>0</v>
      </c>
      <c r="E1526" s="8">
        <v>194</v>
      </c>
    </row>
    <row r="1527" s="3" customFormat="1" ht="18.75" spans="1:5">
      <c r="A1527" s="8" t="str">
        <f t="shared" si="27"/>
        <v>250007</v>
      </c>
      <c r="B1527" s="8" t="str">
        <f>"2561401014915"</f>
        <v>2561401014915</v>
      </c>
      <c r="C1527" s="8" t="s">
        <v>7</v>
      </c>
      <c r="D1527" s="9">
        <v>0</v>
      </c>
      <c r="E1527" s="8">
        <v>194</v>
      </c>
    </row>
    <row r="1528" s="3" customFormat="1" ht="18.75" spans="1:5">
      <c r="A1528" s="8" t="str">
        <f t="shared" si="27"/>
        <v>250007</v>
      </c>
      <c r="B1528" s="8" t="str">
        <f>"2561401014917"</f>
        <v>2561401014917</v>
      </c>
      <c r="C1528" s="8" t="s">
        <v>7</v>
      </c>
      <c r="D1528" s="9">
        <v>0</v>
      </c>
      <c r="E1528" s="8">
        <v>194</v>
      </c>
    </row>
    <row r="1529" s="3" customFormat="1" ht="18.75" spans="1:5">
      <c r="A1529" s="8" t="str">
        <f t="shared" si="27"/>
        <v>250007</v>
      </c>
      <c r="B1529" s="8" t="str">
        <f>"2561401014920"</f>
        <v>2561401014920</v>
      </c>
      <c r="C1529" s="8" t="s">
        <v>7</v>
      </c>
      <c r="D1529" s="9">
        <v>0</v>
      </c>
      <c r="E1529" s="8">
        <v>194</v>
      </c>
    </row>
    <row r="1530" s="3" customFormat="1" ht="18.75" spans="1:5">
      <c r="A1530" s="8" t="str">
        <f t="shared" si="27"/>
        <v>250007</v>
      </c>
      <c r="B1530" s="8" t="str">
        <f>"2561401014926"</f>
        <v>2561401014926</v>
      </c>
      <c r="C1530" s="8" t="s">
        <v>7</v>
      </c>
      <c r="D1530" s="9">
        <v>0</v>
      </c>
      <c r="E1530" s="8">
        <v>194</v>
      </c>
    </row>
    <row r="1531" s="3" customFormat="1" ht="18.75" spans="1:5">
      <c r="A1531" s="8" t="str">
        <f t="shared" si="27"/>
        <v>250007</v>
      </c>
      <c r="B1531" s="8" t="str">
        <f>"2561401014930"</f>
        <v>2561401014930</v>
      </c>
      <c r="C1531" s="8" t="s">
        <v>7</v>
      </c>
      <c r="D1531" s="9">
        <v>0</v>
      </c>
      <c r="E1531" s="8">
        <v>194</v>
      </c>
    </row>
    <row r="1532" s="3" customFormat="1" ht="18.75" spans="1:5">
      <c r="A1532" s="8" t="str">
        <f t="shared" si="27"/>
        <v>250007</v>
      </c>
      <c r="B1532" s="8" t="str">
        <f>"2561401015012"</f>
        <v>2561401015012</v>
      </c>
      <c r="C1532" s="8" t="s">
        <v>7</v>
      </c>
      <c r="D1532" s="9">
        <v>0</v>
      </c>
      <c r="E1532" s="8">
        <v>194</v>
      </c>
    </row>
    <row r="1533" s="3" customFormat="1" ht="18.75" spans="1:5">
      <c r="A1533" s="8" t="str">
        <f t="shared" si="27"/>
        <v>250007</v>
      </c>
      <c r="B1533" s="8" t="str">
        <f>"2561401015014"</f>
        <v>2561401015014</v>
      </c>
      <c r="C1533" s="8" t="s">
        <v>7</v>
      </c>
      <c r="D1533" s="9">
        <v>0</v>
      </c>
      <c r="E1533" s="8">
        <v>194</v>
      </c>
    </row>
    <row r="1534" s="3" customFormat="1" ht="18.75" spans="1:5">
      <c r="A1534" s="8" t="str">
        <f t="shared" si="27"/>
        <v>250007</v>
      </c>
      <c r="B1534" s="8" t="str">
        <f>"2561401015017"</f>
        <v>2561401015017</v>
      </c>
      <c r="C1534" s="8" t="s">
        <v>7</v>
      </c>
      <c r="D1534" s="9">
        <v>0</v>
      </c>
      <c r="E1534" s="8">
        <v>194</v>
      </c>
    </row>
    <row r="1535" s="3" customFormat="1" ht="18.75" spans="1:5">
      <c r="A1535" s="8" t="str">
        <f t="shared" si="27"/>
        <v>250007</v>
      </c>
      <c r="B1535" s="8" t="str">
        <f>"2561401015018"</f>
        <v>2561401015018</v>
      </c>
      <c r="C1535" s="8" t="s">
        <v>7</v>
      </c>
      <c r="D1535" s="9">
        <v>0</v>
      </c>
      <c r="E1535" s="8">
        <v>194</v>
      </c>
    </row>
    <row r="1536" s="3" customFormat="1" ht="18.75" spans="1:5">
      <c r="A1536" s="8" t="str">
        <f t="shared" si="27"/>
        <v>250007</v>
      </c>
      <c r="B1536" s="8" t="str">
        <f>"2561401015019"</f>
        <v>2561401015019</v>
      </c>
      <c r="C1536" s="8" t="s">
        <v>7</v>
      </c>
      <c r="D1536" s="9">
        <v>0</v>
      </c>
      <c r="E1536" s="8">
        <v>194</v>
      </c>
    </row>
    <row r="1537" s="3" customFormat="1" ht="18.75" spans="1:5">
      <c r="A1537" s="8" t="str">
        <f t="shared" si="27"/>
        <v>250007</v>
      </c>
      <c r="B1537" s="8" t="str">
        <f>"2561401015024"</f>
        <v>2561401015024</v>
      </c>
      <c r="C1537" s="8" t="s">
        <v>7</v>
      </c>
      <c r="D1537" s="9">
        <v>0</v>
      </c>
      <c r="E1537" s="8">
        <v>194</v>
      </c>
    </row>
    <row r="1538" s="3" customFormat="1" ht="18.75" spans="1:5">
      <c r="A1538" s="8" t="str">
        <f t="shared" si="27"/>
        <v>250007</v>
      </c>
      <c r="B1538" s="8" t="str">
        <f>"2561401015105"</f>
        <v>2561401015105</v>
      </c>
      <c r="C1538" s="8" t="s">
        <v>7</v>
      </c>
      <c r="D1538" s="9">
        <v>0</v>
      </c>
      <c r="E1538" s="8">
        <v>194</v>
      </c>
    </row>
    <row r="1539" s="3" customFormat="1" ht="18.75" spans="1:5">
      <c r="A1539" s="8" t="str">
        <f t="shared" si="27"/>
        <v>250007</v>
      </c>
      <c r="B1539" s="8" t="str">
        <f>"2561401015106"</f>
        <v>2561401015106</v>
      </c>
      <c r="C1539" s="8" t="s">
        <v>7</v>
      </c>
      <c r="D1539" s="9">
        <v>0</v>
      </c>
      <c r="E1539" s="8">
        <v>194</v>
      </c>
    </row>
    <row r="1540" s="3" customFormat="1" ht="18.75" spans="1:5">
      <c r="A1540" s="8" t="str">
        <f t="shared" si="27"/>
        <v>250007</v>
      </c>
      <c r="B1540" s="8" t="str">
        <f>"2561401015110"</f>
        <v>2561401015110</v>
      </c>
      <c r="C1540" s="8" t="s">
        <v>7</v>
      </c>
      <c r="D1540" s="9">
        <v>0</v>
      </c>
      <c r="E1540" s="8">
        <v>194</v>
      </c>
    </row>
    <row r="1541" s="3" customFormat="1" ht="18.75" spans="1:5">
      <c r="A1541" s="8" t="str">
        <f t="shared" si="27"/>
        <v>250007</v>
      </c>
      <c r="B1541" s="8" t="str">
        <f>"2561401015114"</f>
        <v>2561401015114</v>
      </c>
      <c r="C1541" s="8" t="s">
        <v>7</v>
      </c>
      <c r="D1541" s="9">
        <v>0</v>
      </c>
      <c r="E1541" s="8">
        <v>194</v>
      </c>
    </row>
    <row r="1542" s="3" customFormat="1" ht="18.75" spans="1:5">
      <c r="A1542" s="8" t="str">
        <f t="shared" si="27"/>
        <v>250007</v>
      </c>
      <c r="B1542" s="8" t="str">
        <f>"2561401015115"</f>
        <v>2561401015115</v>
      </c>
      <c r="C1542" s="8" t="s">
        <v>7</v>
      </c>
      <c r="D1542" s="9">
        <v>0</v>
      </c>
      <c r="E1542" s="8">
        <v>194</v>
      </c>
    </row>
    <row r="1543" s="3" customFormat="1" ht="18.75" spans="1:5">
      <c r="A1543" s="8" t="str">
        <f t="shared" si="27"/>
        <v>250007</v>
      </c>
      <c r="B1543" s="8" t="str">
        <f>"2561401015121"</f>
        <v>2561401015121</v>
      </c>
      <c r="C1543" s="8" t="s">
        <v>7</v>
      </c>
      <c r="D1543" s="9">
        <v>0</v>
      </c>
      <c r="E1543" s="8">
        <v>194</v>
      </c>
    </row>
    <row r="1544" s="3" customFormat="1" ht="18.75" spans="1:5">
      <c r="A1544" s="8" t="str">
        <f t="shared" si="27"/>
        <v>250007</v>
      </c>
      <c r="B1544" s="8" t="str">
        <f>"2561401015122"</f>
        <v>2561401015122</v>
      </c>
      <c r="C1544" s="8" t="s">
        <v>7</v>
      </c>
      <c r="D1544" s="9">
        <v>0</v>
      </c>
      <c r="E1544" s="8">
        <v>194</v>
      </c>
    </row>
    <row r="1545" s="3" customFormat="1" ht="18.75" spans="1:5">
      <c r="A1545" s="8" t="str">
        <f t="shared" si="27"/>
        <v>250007</v>
      </c>
      <c r="B1545" s="8" t="str">
        <f>"2561401015124"</f>
        <v>2561401015124</v>
      </c>
      <c r="C1545" s="8" t="s">
        <v>7</v>
      </c>
      <c r="D1545" s="9">
        <v>0</v>
      </c>
      <c r="E1545" s="8">
        <v>194</v>
      </c>
    </row>
    <row r="1546" s="3" customFormat="1" ht="18.75" spans="1:5">
      <c r="A1546" s="8" t="str">
        <f t="shared" si="27"/>
        <v>250007</v>
      </c>
      <c r="B1546" s="8" t="str">
        <f>"2561401015203"</f>
        <v>2561401015203</v>
      </c>
      <c r="C1546" s="8" t="s">
        <v>7</v>
      </c>
      <c r="D1546" s="9">
        <v>0</v>
      </c>
      <c r="E1546" s="8">
        <v>194</v>
      </c>
    </row>
    <row r="1547" s="3" customFormat="1" ht="18.75" spans="1:5">
      <c r="A1547" s="8" t="str">
        <f t="shared" si="27"/>
        <v>250007</v>
      </c>
      <c r="B1547" s="8" t="str">
        <f>"2561401015204"</f>
        <v>2561401015204</v>
      </c>
      <c r="C1547" s="8" t="s">
        <v>7</v>
      </c>
      <c r="D1547" s="9">
        <v>0</v>
      </c>
      <c r="E1547" s="8">
        <v>194</v>
      </c>
    </row>
    <row r="1548" s="3" customFormat="1" ht="18.75" spans="1:5">
      <c r="A1548" s="8" t="str">
        <f t="shared" si="27"/>
        <v>250007</v>
      </c>
      <c r="B1548" s="8" t="str">
        <f>"2561401015214"</f>
        <v>2561401015214</v>
      </c>
      <c r="C1548" s="8" t="s">
        <v>7</v>
      </c>
      <c r="D1548" s="9">
        <v>0</v>
      </c>
      <c r="E1548" s="8">
        <v>194</v>
      </c>
    </row>
    <row r="1549" s="3" customFormat="1" ht="18.75" spans="1:5">
      <c r="A1549" s="8" t="str">
        <f t="shared" si="27"/>
        <v>250007</v>
      </c>
      <c r="B1549" s="8" t="str">
        <f>"2561401015216"</f>
        <v>2561401015216</v>
      </c>
      <c r="C1549" s="8" t="s">
        <v>7</v>
      </c>
      <c r="D1549" s="9">
        <v>0</v>
      </c>
      <c r="E1549" s="8">
        <v>194</v>
      </c>
    </row>
    <row r="1550" s="3" customFormat="1" ht="18.75" spans="1:5">
      <c r="A1550" s="8" t="str">
        <f t="shared" si="27"/>
        <v>250007</v>
      </c>
      <c r="B1550" s="8" t="str">
        <f>"2561401015217"</f>
        <v>2561401015217</v>
      </c>
      <c r="C1550" s="8" t="s">
        <v>7</v>
      </c>
      <c r="D1550" s="9">
        <v>0</v>
      </c>
      <c r="E1550" s="8">
        <v>194</v>
      </c>
    </row>
    <row r="1551" s="3" customFormat="1" ht="18.75" spans="1:5">
      <c r="A1551" s="8" t="str">
        <f t="shared" ref="A1551:A1614" si="28">"250008"</f>
        <v>250008</v>
      </c>
      <c r="B1551" s="8" t="str">
        <f>"2561401015328"</f>
        <v>2561401015328</v>
      </c>
      <c r="C1551" s="8" t="s">
        <v>7</v>
      </c>
      <c r="D1551" s="9">
        <v>68.58</v>
      </c>
      <c r="E1551" s="8">
        <v>1</v>
      </c>
    </row>
    <row r="1552" s="3" customFormat="1" ht="18.75" spans="1:5">
      <c r="A1552" s="8" t="str">
        <f t="shared" si="28"/>
        <v>250008</v>
      </c>
      <c r="B1552" s="8" t="str">
        <f>"2561401015315"</f>
        <v>2561401015315</v>
      </c>
      <c r="C1552" s="8" t="s">
        <v>7</v>
      </c>
      <c r="D1552" s="9">
        <v>66.71</v>
      </c>
      <c r="E1552" s="8">
        <v>2</v>
      </c>
    </row>
    <row r="1553" s="3" customFormat="1" ht="18.75" spans="1:5">
      <c r="A1553" s="8" t="str">
        <f t="shared" si="28"/>
        <v>250008</v>
      </c>
      <c r="B1553" s="8" t="str">
        <f>"2561401015420"</f>
        <v>2561401015420</v>
      </c>
      <c r="C1553" s="8" t="s">
        <v>7</v>
      </c>
      <c r="D1553" s="9">
        <v>65.18</v>
      </c>
      <c r="E1553" s="8">
        <v>3</v>
      </c>
    </row>
    <row r="1554" s="3" customFormat="1" ht="18.75" spans="1:5">
      <c r="A1554" s="8" t="str">
        <f t="shared" si="28"/>
        <v>250008</v>
      </c>
      <c r="B1554" s="8" t="str">
        <f>"2561401015411"</f>
        <v>2561401015411</v>
      </c>
      <c r="C1554" s="8" t="s">
        <v>7</v>
      </c>
      <c r="D1554" s="9">
        <v>65.04</v>
      </c>
      <c r="E1554" s="8">
        <v>4</v>
      </c>
    </row>
    <row r="1555" s="3" customFormat="1" ht="18.75" spans="1:5">
      <c r="A1555" s="8" t="str">
        <f t="shared" si="28"/>
        <v>250008</v>
      </c>
      <c r="B1555" s="8" t="str">
        <f>"2561401015330"</f>
        <v>2561401015330</v>
      </c>
      <c r="C1555" s="8" t="s">
        <v>7</v>
      </c>
      <c r="D1555" s="9">
        <v>64.82</v>
      </c>
      <c r="E1555" s="8">
        <v>5</v>
      </c>
    </row>
    <row r="1556" s="3" customFormat="1" ht="18.75" spans="1:5">
      <c r="A1556" s="8" t="str">
        <f t="shared" si="28"/>
        <v>250008</v>
      </c>
      <c r="B1556" s="8" t="str">
        <f>"2561401015421"</f>
        <v>2561401015421</v>
      </c>
      <c r="C1556" s="8" t="s">
        <v>7</v>
      </c>
      <c r="D1556" s="9">
        <v>64.76</v>
      </c>
      <c r="E1556" s="8">
        <v>6</v>
      </c>
    </row>
    <row r="1557" s="3" customFormat="1" ht="18.75" spans="1:5">
      <c r="A1557" s="8" t="str">
        <f t="shared" si="28"/>
        <v>250008</v>
      </c>
      <c r="B1557" s="8" t="str">
        <f>"2561401015223"</f>
        <v>2561401015223</v>
      </c>
      <c r="C1557" s="8" t="s">
        <v>7</v>
      </c>
      <c r="D1557" s="9">
        <v>63.74</v>
      </c>
      <c r="E1557" s="8">
        <v>7</v>
      </c>
    </row>
    <row r="1558" s="3" customFormat="1" ht="18.75" spans="1:5">
      <c r="A1558" s="8" t="str">
        <f t="shared" si="28"/>
        <v>250008</v>
      </c>
      <c r="B1558" s="8" t="str">
        <f>"2561401015314"</f>
        <v>2561401015314</v>
      </c>
      <c r="C1558" s="8" t="s">
        <v>7</v>
      </c>
      <c r="D1558" s="9">
        <v>63.54</v>
      </c>
      <c r="E1558" s="8">
        <v>8</v>
      </c>
    </row>
    <row r="1559" s="3" customFormat="1" ht="18.75" spans="1:5">
      <c r="A1559" s="8" t="str">
        <f t="shared" si="28"/>
        <v>250008</v>
      </c>
      <c r="B1559" s="8" t="str">
        <f>"2561401015413"</f>
        <v>2561401015413</v>
      </c>
      <c r="C1559" s="8" t="s">
        <v>7</v>
      </c>
      <c r="D1559" s="9">
        <v>63.46</v>
      </c>
      <c r="E1559" s="8">
        <v>9</v>
      </c>
    </row>
    <row r="1560" s="3" customFormat="1" ht="18.75" spans="1:5">
      <c r="A1560" s="8" t="str">
        <f t="shared" si="28"/>
        <v>250008</v>
      </c>
      <c r="B1560" s="8" t="str">
        <f>"2561401015301"</f>
        <v>2561401015301</v>
      </c>
      <c r="C1560" s="8" t="s">
        <v>7</v>
      </c>
      <c r="D1560" s="9">
        <v>63.03</v>
      </c>
      <c r="E1560" s="8">
        <v>10</v>
      </c>
    </row>
    <row r="1561" s="3" customFormat="1" ht="18.75" spans="1:5">
      <c r="A1561" s="8" t="str">
        <f t="shared" si="28"/>
        <v>250008</v>
      </c>
      <c r="B1561" s="8" t="str">
        <f>"2561401015322"</f>
        <v>2561401015322</v>
      </c>
      <c r="C1561" s="8" t="s">
        <v>7</v>
      </c>
      <c r="D1561" s="9">
        <v>62.34</v>
      </c>
      <c r="E1561" s="8">
        <v>11</v>
      </c>
    </row>
    <row r="1562" s="3" customFormat="1" ht="18.75" spans="1:5">
      <c r="A1562" s="8" t="str">
        <f t="shared" si="28"/>
        <v>250008</v>
      </c>
      <c r="B1562" s="8" t="str">
        <f>"2561401015227"</f>
        <v>2561401015227</v>
      </c>
      <c r="C1562" s="8" t="s">
        <v>7</v>
      </c>
      <c r="D1562" s="9">
        <v>61.14</v>
      </c>
      <c r="E1562" s="8">
        <v>12</v>
      </c>
    </row>
    <row r="1563" s="3" customFormat="1" ht="18.75" spans="1:5">
      <c r="A1563" s="8" t="str">
        <f t="shared" si="28"/>
        <v>250008</v>
      </c>
      <c r="B1563" s="8" t="str">
        <f>"2561401015302"</f>
        <v>2561401015302</v>
      </c>
      <c r="C1563" s="8" t="s">
        <v>7</v>
      </c>
      <c r="D1563" s="9">
        <v>60.74</v>
      </c>
      <c r="E1563" s="8">
        <v>13</v>
      </c>
    </row>
    <row r="1564" s="3" customFormat="1" ht="18.75" spans="1:5">
      <c r="A1564" s="8" t="str">
        <f t="shared" si="28"/>
        <v>250008</v>
      </c>
      <c r="B1564" s="8" t="str">
        <f>"2561401015406"</f>
        <v>2561401015406</v>
      </c>
      <c r="C1564" s="8" t="s">
        <v>7</v>
      </c>
      <c r="D1564" s="9">
        <v>60.49</v>
      </c>
      <c r="E1564" s="8">
        <v>14</v>
      </c>
    </row>
    <row r="1565" s="3" customFormat="1" ht="18.75" spans="1:5">
      <c r="A1565" s="8" t="str">
        <f t="shared" si="28"/>
        <v>250008</v>
      </c>
      <c r="B1565" s="8" t="str">
        <f>"2561401015222"</f>
        <v>2561401015222</v>
      </c>
      <c r="C1565" s="8" t="s">
        <v>7</v>
      </c>
      <c r="D1565" s="9">
        <v>60.33</v>
      </c>
      <c r="E1565" s="8">
        <v>15</v>
      </c>
    </row>
    <row r="1566" s="3" customFormat="1" ht="18.75" spans="1:5">
      <c r="A1566" s="8" t="str">
        <f t="shared" si="28"/>
        <v>250008</v>
      </c>
      <c r="B1566" s="8" t="str">
        <f>"2561401015306"</f>
        <v>2561401015306</v>
      </c>
      <c r="C1566" s="8" t="s">
        <v>7</v>
      </c>
      <c r="D1566" s="9">
        <v>60.13</v>
      </c>
      <c r="E1566" s="8">
        <v>16</v>
      </c>
    </row>
    <row r="1567" s="3" customFormat="1" ht="18.75" spans="1:5">
      <c r="A1567" s="8" t="str">
        <f t="shared" si="28"/>
        <v>250008</v>
      </c>
      <c r="B1567" s="8" t="str">
        <f>"2561401015404"</f>
        <v>2561401015404</v>
      </c>
      <c r="C1567" s="8" t="s">
        <v>7</v>
      </c>
      <c r="D1567" s="9">
        <v>59.67</v>
      </c>
      <c r="E1567" s="8">
        <v>17</v>
      </c>
    </row>
    <row r="1568" s="3" customFormat="1" ht="18.75" spans="1:5">
      <c r="A1568" s="8" t="str">
        <f t="shared" si="28"/>
        <v>250008</v>
      </c>
      <c r="B1568" s="8" t="str">
        <f>"2561401015417"</f>
        <v>2561401015417</v>
      </c>
      <c r="C1568" s="8" t="s">
        <v>7</v>
      </c>
      <c r="D1568" s="9">
        <v>59.41</v>
      </c>
      <c r="E1568" s="8">
        <v>18</v>
      </c>
    </row>
    <row r="1569" s="3" customFormat="1" ht="18.75" spans="1:5">
      <c r="A1569" s="8" t="str">
        <f t="shared" si="28"/>
        <v>250008</v>
      </c>
      <c r="B1569" s="8" t="str">
        <f>"2561401015405"</f>
        <v>2561401015405</v>
      </c>
      <c r="C1569" s="8" t="s">
        <v>7</v>
      </c>
      <c r="D1569" s="9">
        <v>59</v>
      </c>
      <c r="E1569" s="8">
        <v>19</v>
      </c>
    </row>
    <row r="1570" s="3" customFormat="1" ht="18.75" spans="1:5">
      <c r="A1570" s="8" t="str">
        <f t="shared" si="28"/>
        <v>250008</v>
      </c>
      <c r="B1570" s="8" t="str">
        <f>"2561401015225"</f>
        <v>2561401015225</v>
      </c>
      <c r="C1570" s="8" t="s">
        <v>7</v>
      </c>
      <c r="D1570" s="9">
        <v>58.55</v>
      </c>
      <c r="E1570" s="8">
        <v>20</v>
      </c>
    </row>
    <row r="1571" s="3" customFormat="1" ht="18.75" spans="1:5">
      <c r="A1571" s="8" t="str">
        <f t="shared" si="28"/>
        <v>250008</v>
      </c>
      <c r="B1571" s="8" t="str">
        <f>"2561401015316"</f>
        <v>2561401015316</v>
      </c>
      <c r="C1571" s="8" t="s">
        <v>7</v>
      </c>
      <c r="D1571" s="9">
        <v>58.38</v>
      </c>
      <c r="E1571" s="8">
        <v>21</v>
      </c>
    </row>
    <row r="1572" s="3" customFormat="1" ht="18.75" spans="1:5">
      <c r="A1572" s="8" t="str">
        <f t="shared" si="28"/>
        <v>250008</v>
      </c>
      <c r="B1572" s="8" t="str">
        <f>"2561401015401"</f>
        <v>2561401015401</v>
      </c>
      <c r="C1572" s="8" t="s">
        <v>7</v>
      </c>
      <c r="D1572" s="9">
        <v>58.24</v>
      </c>
      <c r="E1572" s="8">
        <v>22</v>
      </c>
    </row>
    <row r="1573" s="3" customFormat="1" ht="18.75" spans="1:5">
      <c r="A1573" s="8" t="str">
        <f t="shared" si="28"/>
        <v>250008</v>
      </c>
      <c r="B1573" s="8" t="str">
        <f>"2561401015415"</f>
        <v>2561401015415</v>
      </c>
      <c r="C1573" s="8" t="s">
        <v>7</v>
      </c>
      <c r="D1573" s="9">
        <v>57.36</v>
      </c>
      <c r="E1573" s="8">
        <v>23</v>
      </c>
    </row>
    <row r="1574" s="3" customFormat="1" ht="18.75" spans="1:5">
      <c r="A1574" s="8" t="str">
        <f t="shared" si="28"/>
        <v>250008</v>
      </c>
      <c r="B1574" s="8" t="str">
        <f>"2561401015230"</f>
        <v>2561401015230</v>
      </c>
      <c r="C1574" s="8" t="s">
        <v>7</v>
      </c>
      <c r="D1574" s="9">
        <v>56.91</v>
      </c>
      <c r="E1574" s="8">
        <v>24</v>
      </c>
    </row>
    <row r="1575" s="3" customFormat="1" ht="18.75" spans="1:5">
      <c r="A1575" s="8" t="str">
        <f t="shared" si="28"/>
        <v>250008</v>
      </c>
      <c r="B1575" s="8" t="str">
        <f>"2561401015403"</f>
        <v>2561401015403</v>
      </c>
      <c r="C1575" s="8" t="s">
        <v>7</v>
      </c>
      <c r="D1575" s="9">
        <v>56.87</v>
      </c>
      <c r="E1575" s="8">
        <v>25</v>
      </c>
    </row>
    <row r="1576" s="3" customFormat="1" ht="18.75" spans="1:5">
      <c r="A1576" s="8" t="str">
        <f t="shared" si="28"/>
        <v>250008</v>
      </c>
      <c r="B1576" s="8" t="str">
        <f>"2561401015317"</f>
        <v>2561401015317</v>
      </c>
      <c r="C1576" s="8" t="s">
        <v>7</v>
      </c>
      <c r="D1576" s="9">
        <v>56.56</v>
      </c>
      <c r="E1576" s="8">
        <v>26</v>
      </c>
    </row>
    <row r="1577" s="3" customFormat="1" ht="18.75" spans="1:5">
      <c r="A1577" s="8" t="str">
        <f t="shared" si="28"/>
        <v>250008</v>
      </c>
      <c r="B1577" s="8" t="str">
        <f>"2561401015313"</f>
        <v>2561401015313</v>
      </c>
      <c r="C1577" s="8" t="s">
        <v>7</v>
      </c>
      <c r="D1577" s="9">
        <v>55.27</v>
      </c>
      <c r="E1577" s="8">
        <v>27</v>
      </c>
    </row>
    <row r="1578" s="3" customFormat="1" ht="18.75" spans="1:5">
      <c r="A1578" s="8" t="str">
        <f t="shared" si="28"/>
        <v>250008</v>
      </c>
      <c r="B1578" s="8" t="str">
        <f>"2561401015423"</f>
        <v>2561401015423</v>
      </c>
      <c r="C1578" s="8" t="s">
        <v>7</v>
      </c>
      <c r="D1578" s="9">
        <v>55.07</v>
      </c>
      <c r="E1578" s="8">
        <v>28</v>
      </c>
    </row>
    <row r="1579" s="3" customFormat="1" ht="18.75" spans="1:5">
      <c r="A1579" s="8" t="str">
        <f t="shared" si="28"/>
        <v>250008</v>
      </c>
      <c r="B1579" s="8" t="str">
        <f>"2561401015311"</f>
        <v>2561401015311</v>
      </c>
      <c r="C1579" s="8" t="s">
        <v>7</v>
      </c>
      <c r="D1579" s="9">
        <v>54.27</v>
      </c>
      <c r="E1579" s="8">
        <v>29</v>
      </c>
    </row>
    <row r="1580" s="3" customFormat="1" ht="18.75" spans="1:5">
      <c r="A1580" s="8" t="str">
        <f t="shared" si="28"/>
        <v>250008</v>
      </c>
      <c r="B1580" s="8" t="str">
        <f>"2561401015304"</f>
        <v>2561401015304</v>
      </c>
      <c r="C1580" s="8" t="s">
        <v>7</v>
      </c>
      <c r="D1580" s="9">
        <v>54.16</v>
      </c>
      <c r="E1580" s="8">
        <v>30</v>
      </c>
    </row>
    <row r="1581" s="3" customFormat="1" ht="18.75" spans="1:5">
      <c r="A1581" s="8" t="str">
        <f t="shared" si="28"/>
        <v>250008</v>
      </c>
      <c r="B1581" s="8" t="str">
        <f>"2561401015410"</f>
        <v>2561401015410</v>
      </c>
      <c r="C1581" s="8" t="s">
        <v>7</v>
      </c>
      <c r="D1581" s="9">
        <v>54.06</v>
      </c>
      <c r="E1581" s="8">
        <v>31</v>
      </c>
    </row>
    <row r="1582" s="3" customFormat="1" ht="18.75" spans="1:5">
      <c r="A1582" s="8" t="str">
        <f t="shared" si="28"/>
        <v>250008</v>
      </c>
      <c r="B1582" s="8" t="str">
        <f>"2561401015323"</f>
        <v>2561401015323</v>
      </c>
      <c r="C1582" s="8" t="s">
        <v>7</v>
      </c>
      <c r="D1582" s="9">
        <v>53.88</v>
      </c>
      <c r="E1582" s="8">
        <v>32</v>
      </c>
    </row>
    <row r="1583" s="3" customFormat="1" ht="18.75" spans="1:5">
      <c r="A1583" s="8" t="str">
        <f t="shared" si="28"/>
        <v>250008</v>
      </c>
      <c r="B1583" s="8" t="str">
        <f>"2561401015303"</f>
        <v>2561401015303</v>
      </c>
      <c r="C1583" s="8" t="s">
        <v>7</v>
      </c>
      <c r="D1583" s="9">
        <v>53.56</v>
      </c>
      <c r="E1583" s="8">
        <v>33</v>
      </c>
    </row>
    <row r="1584" s="3" customFormat="1" ht="18.75" spans="1:5">
      <c r="A1584" s="8" t="str">
        <f t="shared" si="28"/>
        <v>250008</v>
      </c>
      <c r="B1584" s="8" t="str">
        <f>"2561401015409"</f>
        <v>2561401015409</v>
      </c>
      <c r="C1584" s="8" t="s">
        <v>7</v>
      </c>
      <c r="D1584" s="9">
        <v>53.21</v>
      </c>
      <c r="E1584" s="8">
        <v>34</v>
      </c>
    </row>
    <row r="1585" s="3" customFormat="1" ht="18.75" spans="1:5">
      <c r="A1585" s="8" t="str">
        <f t="shared" si="28"/>
        <v>250008</v>
      </c>
      <c r="B1585" s="8" t="str">
        <f>"2561401015418"</f>
        <v>2561401015418</v>
      </c>
      <c r="C1585" s="8" t="s">
        <v>7</v>
      </c>
      <c r="D1585" s="9">
        <v>53.21</v>
      </c>
      <c r="E1585" s="8">
        <v>34</v>
      </c>
    </row>
    <row r="1586" s="3" customFormat="1" ht="18.75" spans="1:5">
      <c r="A1586" s="8" t="str">
        <f t="shared" si="28"/>
        <v>250008</v>
      </c>
      <c r="B1586" s="8" t="str">
        <f>"2561401015407"</f>
        <v>2561401015407</v>
      </c>
      <c r="C1586" s="8" t="s">
        <v>7</v>
      </c>
      <c r="D1586" s="9">
        <v>53.02</v>
      </c>
      <c r="E1586" s="8">
        <v>36</v>
      </c>
    </row>
    <row r="1587" s="3" customFormat="1" ht="18.75" spans="1:5">
      <c r="A1587" s="8" t="str">
        <f t="shared" si="28"/>
        <v>250008</v>
      </c>
      <c r="B1587" s="8" t="str">
        <f>"2561401015218"</f>
        <v>2561401015218</v>
      </c>
      <c r="C1587" s="8" t="s">
        <v>7</v>
      </c>
      <c r="D1587" s="9">
        <v>52.95</v>
      </c>
      <c r="E1587" s="8">
        <v>37</v>
      </c>
    </row>
    <row r="1588" s="3" customFormat="1" ht="18.75" spans="1:5">
      <c r="A1588" s="8" t="str">
        <f t="shared" si="28"/>
        <v>250008</v>
      </c>
      <c r="B1588" s="8" t="str">
        <f>"2561401015310"</f>
        <v>2561401015310</v>
      </c>
      <c r="C1588" s="8" t="s">
        <v>7</v>
      </c>
      <c r="D1588" s="9">
        <v>52.64</v>
      </c>
      <c r="E1588" s="8">
        <v>38</v>
      </c>
    </row>
    <row r="1589" s="3" customFormat="1" ht="18.75" spans="1:5">
      <c r="A1589" s="8" t="str">
        <f t="shared" si="28"/>
        <v>250008</v>
      </c>
      <c r="B1589" s="8" t="str">
        <f>"2561401015318"</f>
        <v>2561401015318</v>
      </c>
      <c r="C1589" s="8" t="s">
        <v>7</v>
      </c>
      <c r="D1589" s="9">
        <v>52.28</v>
      </c>
      <c r="E1589" s="8">
        <v>39</v>
      </c>
    </row>
    <row r="1590" s="3" customFormat="1" ht="18.75" spans="1:5">
      <c r="A1590" s="8" t="str">
        <f t="shared" si="28"/>
        <v>250008</v>
      </c>
      <c r="B1590" s="8" t="str">
        <f>"2561401015329"</f>
        <v>2561401015329</v>
      </c>
      <c r="C1590" s="8" t="s">
        <v>7</v>
      </c>
      <c r="D1590" s="9">
        <v>51.81</v>
      </c>
      <c r="E1590" s="8">
        <v>40</v>
      </c>
    </row>
    <row r="1591" s="3" customFormat="1" ht="18.75" spans="1:5">
      <c r="A1591" s="8" t="str">
        <f t="shared" si="28"/>
        <v>250008</v>
      </c>
      <c r="B1591" s="8" t="str">
        <f>"2561401015412"</f>
        <v>2561401015412</v>
      </c>
      <c r="C1591" s="8" t="s">
        <v>7</v>
      </c>
      <c r="D1591" s="9">
        <v>51.73</v>
      </c>
      <c r="E1591" s="8">
        <v>41</v>
      </c>
    </row>
    <row r="1592" s="3" customFormat="1" ht="18.75" spans="1:5">
      <c r="A1592" s="8" t="str">
        <f t="shared" si="28"/>
        <v>250008</v>
      </c>
      <c r="B1592" s="8" t="str">
        <f>"2561401015309"</f>
        <v>2561401015309</v>
      </c>
      <c r="C1592" s="8" t="s">
        <v>7</v>
      </c>
      <c r="D1592" s="9">
        <v>51.59</v>
      </c>
      <c r="E1592" s="8">
        <v>42</v>
      </c>
    </row>
    <row r="1593" s="3" customFormat="1" ht="18.75" spans="1:5">
      <c r="A1593" s="8" t="str">
        <f t="shared" si="28"/>
        <v>250008</v>
      </c>
      <c r="B1593" s="8" t="str">
        <f>"2561401015228"</f>
        <v>2561401015228</v>
      </c>
      <c r="C1593" s="8" t="s">
        <v>7</v>
      </c>
      <c r="D1593" s="9">
        <v>51.26</v>
      </c>
      <c r="E1593" s="8">
        <v>43</v>
      </c>
    </row>
    <row r="1594" s="3" customFormat="1" ht="18.75" spans="1:5">
      <c r="A1594" s="8" t="str">
        <f t="shared" si="28"/>
        <v>250008</v>
      </c>
      <c r="B1594" s="8" t="str">
        <f>"2561401015219"</f>
        <v>2561401015219</v>
      </c>
      <c r="C1594" s="8" t="s">
        <v>7</v>
      </c>
      <c r="D1594" s="9">
        <v>51.24</v>
      </c>
      <c r="E1594" s="8">
        <v>44</v>
      </c>
    </row>
    <row r="1595" s="3" customFormat="1" ht="18.75" spans="1:5">
      <c r="A1595" s="8" t="str">
        <f t="shared" si="28"/>
        <v>250008</v>
      </c>
      <c r="B1595" s="8" t="str">
        <f>"2561401015220"</f>
        <v>2561401015220</v>
      </c>
      <c r="C1595" s="8" t="s">
        <v>7</v>
      </c>
      <c r="D1595" s="9">
        <v>50.49</v>
      </c>
      <c r="E1595" s="8">
        <v>45</v>
      </c>
    </row>
    <row r="1596" s="3" customFormat="1" ht="18.75" spans="1:5">
      <c r="A1596" s="8" t="str">
        <f t="shared" si="28"/>
        <v>250008</v>
      </c>
      <c r="B1596" s="8" t="str">
        <f>"2561401015416"</f>
        <v>2561401015416</v>
      </c>
      <c r="C1596" s="8" t="s">
        <v>7</v>
      </c>
      <c r="D1596" s="9">
        <v>50.32</v>
      </c>
      <c r="E1596" s="8">
        <v>46</v>
      </c>
    </row>
    <row r="1597" s="3" customFormat="1" ht="18.75" spans="1:5">
      <c r="A1597" s="8" t="str">
        <f t="shared" si="28"/>
        <v>250008</v>
      </c>
      <c r="B1597" s="8" t="str">
        <f>"2561401015221"</f>
        <v>2561401015221</v>
      </c>
      <c r="C1597" s="8" t="s">
        <v>7</v>
      </c>
      <c r="D1597" s="9">
        <v>50.13</v>
      </c>
      <c r="E1597" s="8">
        <v>47</v>
      </c>
    </row>
    <row r="1598" s="3" customFormat="1" ht="18.75" spans="1:5">
      <c r="A1598" s="8" t="str">
        <f t="shared" si="28"/>
        <v>250008</v>
      </c>
      <c r="B1598" s="8" t="str">
        <f>"2561401015408"</f>
        <v>2561401015408</v>
      </c>
      <c r="C1598" s="8" t="s">
        <v>7</v>
      </c>
      <c r="D1598" s="9">
        <v>49.77</v>
      </c>
      <c r="E1598" s="8">
        <v>48</v>
      </c>
    </row>
    <row r="1599" s="3" customFormat="1" ht="18.75" spans="1:5">
      <c r="A1599" s="8" t="str">
        <f t="shared" si="28"/>
        <v>250008</v>
      </c>
      <c r="B1599" s="8" t="str">
        <f>"2561401015327"</f>
        <v>2561401015327</v>
      </c>
      <c r="C1599" s="8" t="s">
        <v>7</v>
      </c>
      <c r="D1599" s="9">
        <v>49.29</v>
      </c>
      <c r="E1599" s="8">
        <v>49</v>
      </c>
    </row>
    <row r="1600" s="3" customFormat="1" ht="18.75" spans="1:5">
      <c r="A1600" s="8" t="str">
        <f t="shared" si="28"/>
        <v>250008</v>
      </c>
      <c r="B1600" s="8" t="str">
        <f>"2561401015422"</f>
        <v>2561401015422</v>
      </c>
      <c r="C1600" s="8" t="s">
        <v>7</v>
      </c>
      <c r="D1600" s="9">
        <v>48.93</v>
      </c>
      <c r="E1600" s="8">
        <v>50</v>
      </c>
    </row>
    <row r="1601" s="3" customFormat="1" ht="18.75" spans="1:5">
      <c r="A1601" s="8" t="str">
        <f t="shared" si="28"/>
        <v>250008</v>
      </c>
      <c r="B1601" s="8" t="str">
        <f>"2561401015419"</f>
        <v>2561401015419</v>
      </c>
      <c r="C1601" s="8" t="s">
        <v>7</v>
      </c>
      <c r="D1601" s="9">
        <v>47.25</v>
      </c>
      <c r="E1601" s="8">
        <v>51</v>
      </c>
    </row>
    <row r="1602" s="3" customFormat="1" ht="18.75" spans="1:5">
      <c r="A1602" s="8" t="str">
        <f t="shared" si="28"/>
        <v>250008</v>
      </c>
      <c r="B1602" s="8" t="str">
        <f>"2561401015324"</f>
        <v>2561401015324</v>
      </c>
      <c r="C1602" s="8" t="s">
        <v>7</v>
      </c>
      <c r="D1602" s="9">
        <v>44.6</v>
      </c>
      <c r="E1602" s="8">
        <v>52</v>
      </c>
    </row>
    <row r="1603" s="3" customFormat="1" ht="18.75" spans="1:5">
      <c r="A1603" s="8" t="str">
        <f t="shared" si="28"/>
        <v>250008</v>
      </c>
      <c r="B1603" s="8" t="str">
        <f>"2561401015226"</f>
        <v>2561401015226</v>
      </c>
      <c r="C1603" s="8" t="s">
        <v>7</v>
      </c>
      <c r="D1603" s="9">
        <v>44.18</v>
      </c>
      <c r="E1603" s="8">
        <v>53</v>
      </c>
    </row>
    <row r="1604" s="3" customFormat="1" ht="18.75" spans="1:5">
      <c r="A1604" s="8" t="str">
        <f t="shared" si="28"/>
        <v>250008</v>
      </c>
      <c r="B1604" s="8" t="str">
        <f>"2561401015325"</f>
        <v>2561401015325</v>
      </c>
      <c r="C1604" s="8" t="s">
        <v>7</v>
      </c>
      <c r="D1604" s="9">
        <v>41.66</v>
      </c>
      <c r="E1604" s="8">
        <v>54</v>
      </c>
    </row>
    <row r="1605" s="3" customFormat="1" ht="18.75" spans="1:5">
      <c r="A1605" s="8" t="str">
        <f t="shared" si="28"/>
        <v>250008</v>
      </c>
      <c r="B1605" s="8" t="str">
        <f>"2561401015414"</f>
        <v>2561401015414</v>
      </c>
      <c r="C1605" s="8" t="s">
        <v>7</v>
      </c>
      <c r="D1605" s="9">
        <v>40.73</v>
      </c>
      <c r="E1605" s="8">
        <v>55</v>
      </c>
    </row>
    <row r="1606" s="3" customFormat="1" ht="18.75" spans="1:5">
      <c r="A1606" s="8" t="str">
        <f t="shared" si="28"/>
        <v>250008</v>
      </c>
      <c r="B1606" s="8" t="str">
        <f>"2561401015305"</f>
        <v>2561401015305</v>
      </c>
      <c r="C1606" s="8" t="s">
        <v>7</v>
      </c>
      <c r="D1606" s="9">
        <v>36.43</v>
      </c>
      <c r="E1606" s="8">
        <v>56</v>
      </c>
    </row>
    <row r="1607" s="3" customFormat="1" ht="18.75" spans="1:5">
      <c r="A1607" s="8" t="str">
        <f t="shared" si="28"/>
        <v>250008</v>
      </c>
      <c r="B1607" s="8" t="str">
        <f>"2561401015319"</f>
        <v>2561401015319</v>
      </c>
      <c r="C1607" s="8" t="s">
        <v>7</v>
      </c>
      <c r="D1607" s="9">
        <v>33.78</v>
      </c>
      <c r="E1607" s="8">
        <v>57</v>
      </c>
    </row>
    <row r="1608" s="3" customFormat="1" ht="18.75" spans="1:5">
      <c r="A1608" s="8" t="str">
        <f t="shared" si="28"/>
        <v>250008</v>
      </c>
      <c r="B1608" s="8" t="str">
        <f>"2561401015312"</f>
        <v>2561401015312</v>
      </c>
      <c r="C1608" s="8" t="s">
        <v>7</v>
      </c>
      <c r="D1608" s="9">
        <v>33.7</v>
      </c>
      <c r="E1608" s="8">
        <v>58</v>
      </c>
    </row>
    <row r="1609" s="3" customFormat="1" ht="18.75" spans="1:5">
      <c r="A1609" s="8" t="str">
        <f t="shared" si="28"/>
        <v>250008</v>
      </c>
      <c r="B1609" s="8" t="str">
        <f>"2561401015224"</f>
        <v>2561401015224</v>
      </c>
      <c r="C1609" s="8" t="s">
        <v>7</v>
      </c>
      <c r="D1609" s="9">
        <v>27.93</v>
      </c>
      <c r="E1609" s="8">
        <v>59</v>
      </c>
    </row>
    <row r="1610" s="3" customFormat="1" ht="18.75" spans="1:5">
      <c r="A1610" s="8" t="str">
        <f t="shared" si="28"/>
        <v>250008</v>
      </c>
      <c r="B1610" s="8" t="str">
        <f>"2561401015229"</f>
        <v>2561401015229</v>
      </c>
      <c r="C1610" s="8" t="s">
        <v>7</v>
      </c>
      <c r="D1610" s="9">
        <v>0</v>
      </c>
      <c r="E1610" s="8">
        <v>60</v>
      </c>
    </row>
    <row r="1611" s="3" customFormat="1" ht="18.75" spans="1:5">
      <c r="A1611" s="8" t="str">
        <f t="shared" si="28"/>
        <v>250008</v>
      </c>
      <c r="B1611" s="8" t="str">
        <f>"2561401015307"</f>
        <v>2561401015307</v>
      </c>
      <c r="C1611" s="8" t="s">
        <v>7</v>
      </c>
      <c r="D1611" s="9">
        <v>0</v>
      </c>
      <c r="E1611" s="8">
        <v>60</v>
      </c>
    </row>
    <row r="1612" s="3" customFormat="1" ht="18.75" spans="1:5">
      <c r="A1612" s="8" t="str">
        <f t="shared" si="28"/>
        <v>250008</v>
      </c>
      <c r="B1612" s="8" t="str">
        <f>"2561401015308"</f>
        <v>2561401015308</v>
      </c>
      <c r="C1612" s="8" t="s">
        <v>7</v>
      </c>
      <c r="D1612" s="9">
        <v>0</v>
      </c>
      <c r="E1612" s="8">
        <v>60</v>
      </c>
    </row>
    <row r="1613" s="3" customFormat="1" ht="18.75" spans="1:5">
      <c r="A1613" s="8" t="str">
        <f t="shared" si="28"/>
        <v>250008</v>
      </c>
      <c r="B1613" s="8" t="str">
        <f>"2561401015320"</f>
        <v>2561401015320</v>
      </c>
      <c r="C1613" s="8" t="s">
        <v>7</v>
      </c>
      <c r="D1613" s="9">
        <v>0</v>
      </c>
      <c r="E1613" s="8">
        <v>60</v>
      </c>
    </row>
    <row r="1614" s="3" customFormat="1" ht="18.75" spans="1:5">
      <c r="A1614" s="8" t="str">
        <f t="shared" si="28"/>
        <v>250008</v>
      </c>
      <c r="B1614" s="8" t="str">
        <f>"2561401015321"</f>
        <v>2561401015321</v>
      </c>
      <c r="C1614" s="8" t="s">
        <v>7</v>
      </c>
      <c r="D1614" s="9">
        <v>0</v>
      </c>
      <c r="E1614" s="8">
        <v>60</v>
      </c>
    </row>
    <row r="1615" s="3" customFormat="1" ht="18.75" spans="1:5">
      <c r="A1615" s="8" t="str">
        <f>"250008"</f>
        <v>250008</v>
      </c>
      <c r="B1615" s="8" t="str">
        <f>"2561401015326"</f>
        <v>2561401015326</v>
      </c>
      <c r="C1615" s="8" t="s">
        <v>7</v>
      </c>
      <c r="D1615" s="9">
        <v>0</v>
      </c>
      <c r="E1615" s="8">
        <v>60</v>
      </c>
    </row>
    <row r="1616" s="3" customFormat="1" ht="18.75" spans="1:5">
      <c r="A1616" s="8" t="str">
        <f>"250008"</f>
        <v>250008</v>
      </c>
      <c r="B1616" s="8" t="str">
        <f>"2561401015402"</f>
        <v>2561401015402</v>
      </c>
      <c r="C1616" s="8" t="s">
        <v>7</v>
      </c>
      <c r="D1616" s="9">
        <v>0</v>
      </c>
      <c r="E1616" s="8">
        <v>60</v>
      </c>
    </row>
    <row r="1617" s="3" customFormat="1" ht="18.75" spans="1:5">
      <c r="A1617" s="8" t="str">
        <f t="shared" ref="A1617:A1680" si="29">"250009"</f>
        <v>250009</v>
      </c>
      <c r="B1617" s="8" t="str">
        <f>"2561402010309"</f>
        <v>2561402010309</v>
      </c>
      <c r="C1617" s="8" t="s">
        <v>8</v>
      </c>
      <c r="D1617" s="9">
        <v>70.1</v>
      </c>
      <c r="E1617" s="8">
        <v>1</v>
      </c>
    </row>
    <row r="1618" s="3" customFormat="1" ht="18.75" spans="1:5">
      <c r="A1618" s="8" t="str">
        <f t="shared" si="29"/>
        <v>250009</v>
      </c>
      <c r="B1618" s="8" t="str">
        <f>"2561402010330"</f>
        <v>2561402010330</v>
      </c>
      <c r="C1618" s="8" t="s">
        <v>8</v>
      </c>
      <c r="D1618" s="9">
        <v>70.07</v>
      </c>
      <c r="E1618" s="8">
        <v>2</v>
      </c>
    </row>
    <row r="1619" s="3" customFormat="1" ht="18.75" spans="1:5">
      <c r="A1619" s="8" t="str">
        <f t="shared" si="29"/>
        <v>250009</v>
      </c>
      <c r="B1619" s="8" t="str">
        <f>"2561402010223"</f>
        <v>2561402010223</v>
      </c>
      <c r="C1619" s="8" t="s">
        <v>8</v>
      </c>
      <c r="D1619" s="9">
        <v>69.76</v>
      </c>
      <c r="E1619" s="8">
        <v>3</v>
      </c>
    </row>
    <row r="1620" s="3" customFormat="1" ht="18.75" spans="1:5">
      <c r="A1620" s="8" t="str">
        <f t="shared" si="29"/>
        <v>250009</v>
      </c>
      <c r="B1620" s="8" t="str">
        <f>"2561402010417"</f>
        <v>2561402010417</v>
      </c>
      <c r="C1620" s="8" t="s">
        <v>8</v>
      </c>
      <c r="D1620" s="9">
        <v>68.74</v>
      </c>
      <c r="E1620" s="8">
        <v>4</v>
      </c>
    </row>
    <row r="1621" s="3" customFormat="1" ht="18.75" spans="1:5">
      <c r="A1621" s="8" t="str">
        <f t="shared" si="29"/>
        <v>250009</v>
      </c>
      <c r="B1621" s="8" t="str">
        <f>"2561402010105"</f>
        <v>2561402010105</v>
      </c>
      <c r="C1621" s="8" t="s">
        <v>8</v>
      </c>
      <c r="D1621" s="9">
        <v>68.71</v>
      </c>
      <c r="E1621" s="8">
        <v>5</v>
      </c>
    </row>
    <row r="1622" s="3" customFormat="1" ht="18.75" spans="1:5">
      <c r="A1622" s="8" t="str">
        <f t="shared" si="29"/>
        <v>250009</v>
      </c>
      <c r="B1622" s="8" t="str">
        <f>"2561402010413"</f>
        <v>2561402010413</v>
      </c>
      <c r="C1622" s="8" t="s">
        <v>8</v>
      </c>
      <c r="D1622" s="9">
        <v>66.74</v>
      </c>
      <c r="E1622" s="8">
        <v>6</v>
      </c>
    </row>
    <row r="1623" s="3" customFormat="1" ht="18.75" spans="1:5">
      <c r="A1623" s="8" t="str">
        <f t="shared" si="29"/>
        <v>250009</v>
      </c>
      <c r="B1623" s="8" t="str">
        <f>"2561402010122"</f>
        <v>2561402010122</v>
      </c>
      <c r="C1623" s="8" t="s">
        <v>8</v>
      </c>
      <c r="D1623" s="9">
        <v>66.1</v>
      </c>
      <c r="E1623" s="8">
        <v>7</v>
      </c>
    </row>
    <row r="1624" s="3" customFormat="1" ht="18.75" spans="1:5">
      <c r="A1624" s="8" t="str">
        <f t="shared" si="29"/>
        <v>250009</v>
      </c>
      <c r="B1624" s="8" t="str">
        <f>"2561402010226"</f>
        <v>2561402010226</v>
      </c>
      <c r="C1624" s="8" t="s">
        <v>8</v>
      </c>
      <c r="D1624" s="9">
        <v>65.47</v>
      </c>
      <c r="E1624" s="8">
        <v>8</v>
      </c>
    </row>
    <row r="1625" s="3" customFormat="1" ht="18.75" spans="1:5">
      <c r="A1625" s="8" t="str">
        <f t="shared" si="29"/>
        <v>250009</v>
      </c>
      <c r="B1625" s="8" t="str">
        <f>"2561402010220"</f>
        <v>2561402010220</v>
      </c>
      <c r="C1625" s="8" t="s">
        <v>8</v>
      </c>
      <c r="D1625" s="9">
        <v>65.23</v>
      </c>
      <c r="E1625" s="8">
        <v>9</v>
      </c>
    </row>
    <row r="1626" s="3" customFormat="1" ht="18.75" spans="1:5">
      <c r="A1626" s="8" t="str">
        <f t="shared" si="29"/>
        <v>250009</v>
      </c>
      <c r="B1626" s="8" t="str">
        <f>"2561402010127"</f>
        <v>2561402010127</v>
      </c>
      <c r="C1626" s="8" t="s">
        <v>8</v>
      </c>
      <c r="D1626" s="9">
        <v>64.72</v>
      </c>
      <c r="E1626" s="8">
        <v>10</v>
      </c>
    </row>
    <row r="1627" s="3" customFormat="1" ht="18.75" spans="1:5">
      <c r="A1627" s="8" t="str">
        <f t="shared" si="29"/>
        <v>250009</v>
      </c>
      <c r="B1627" s="8" t="str">
        <f>"2561402010112"</f>
        <v>2561402010112</v>
      </c>
      <c r="C1627" s="8" t="s">
        <v>8</v>
      </c>
      <c r="D1627" s="9">
        <v>64.47</v>
      </c>
      <c r="E1627" s="8">
        <v>11</v>
      </c>
    </row>
    <row r="1628" s="3" customFormat="1" ht="18.75" spans="1:5">
      <c r="A1628" s="8" t="str">
        <f t="shared" si="29"/>
        <v>250009</v>
      </c>
      <c r="B1628" s="8" t="str">
        <f>"2561402010205"</f>
        <v>2561402010205</v>
      </c>
      <c r="C1628" s="8" t="s">
        <v>8</v>
      </c>
      <c r="D1628" s="9">
        <v>64.45</v>
      </c>
      <c r="E1628" s="8">
        <v>12</v>
      </c>
    </row>
    <row r="1629" s="3" customFormat="1" ht="18.75" spans="1:5">
      <c r="A1629" s="8" t="str">
        <f t="shared" si="29"/>
        <v>250009</v>
      </c>
      <c r="B1629" s="8" t="str">
        <f>"2561402010128"</f>
        <v>2561402010128</v>
      </c>
      <c r="C1629" s="8" t="s">
        <v>8</v>
      </c>
      <c r="D1629" s="9">
        <v>64.41</v>
      </c>
      <c r="E1629" s="8">
        <v>13</v>
      </c>
    </row>
    <row r="1630" s="3" customFormat="1" ht="18.75" spans="1:5">
      <c r="A1630" s="8" t="str">
        <f t="shared" si="29"/>
        <v>250009</v>
      </c>
      <c r="B1630" s="8" t="str">
        <f>"2561402010203"</f>
        <v>2561402010203</v>
      </c>
      <c r="C1630" s="8" t="s">
        <v>8</v>
      </c>
      <c r="D1630" s="9">
        <v>63.6</v>
      </c>
      <c r="E1630" s="8">
        <v>14</v>
      </c>
    </row>
    <row r="1631" s="3" customFormat="1" ht="18.75" spans="1:5">
      <c r="A1631" s="8" t="str">
        <f t="shared" si="29"/>
        <v>250009</v>
      </c>
      <c r="B1631" s="8" t="str">
        <f>"2561402010124"</f>
        <v>2561402010124</v>
      </c>
      <c r="C1631" s="8" t="s">
        <v>8</v>
      </c>
      <c r="D1631" s="9">
        <v>63.48</v>
      </c>
      <c r="E1631" s="8">
        <v>15</v>
      </c>
    </row>
    <row r="1632" s="3" customFormat="1" ht="18.75" spans="1:5">
      <c r="A1632" s="8" t="str">
        <f t="shared" si="29"/>
        <v>250009</v>
      </c>
      <c r="B1632" s="8" t="str">
        <f>"2561402010213"</f>
        <v>2561402010213</v>
      </c>
      <c r="C1632" s="8" t="s">
        <v>8</v>
      </c>
      <c r="D1632" s="9">
        <v>63.34</v>
      </c>
      <c r="E1632" s="8">
        <v>16</v>
      </c>
    </row>
    <row r="1633" s="3" customFormat="1" ht="18.75" spans="1:5">
      <c r="A1633" s="8" t="str">
        <f t="shared" si="29"/>
        <v>250009</v>
      </c>
      <c r="B1633" s="8" t="str">
        <f>"2561402010214"</f>
        <v>2561402010214</v>
      </c>
      <c r="C1633" s="8" t="s">
        <v>8</v>
      </c>
      <c r="D1633" s="9">
        <v>62.78</v>
      </c>
      <c r="E1633" s="8">
        <v>17</v>
      </c>
    </row>
    <row r="1634" s="3" customFormat="1" ht="18.75" spans="1:5">
      <c r="A1634" s="8" t="str">
        <f t="shared" si="29"/>
        <v>250009</v>
      </c>
      <c r="B1634" s="8" t="str">
        <f>"2561402010319"</f>
        <v>2561402010319</v>
      </c>
      <c r="C1634" s="8" t="s">
        <v>8</v>
      </c>
      <c r="D1634" s="9">
        <v>62.71</v>
      </c>
      <c r="E1634" s="8">
        <v>18</v>
      </c>
    </row>
    <row r="1635" s="3" customFormat="1" ht="18.75" spans="1:5">
      <c r="A1635" s="8" t="str">
        <f t="shared" si="29"/>
        <v>250009</v>
      </c>
      <c r="B1635" s="8" t="str">
        <f>"2561402010103"</f>
        <v>2561402010103</v>
      </c>
      <c r="C1635" s="8" t="s">
        <v>8</v>
      </c>
      <c r="D1635" s="9">
        <v>62.5</v>
      </c>
      <c r="E1635" s="8">
        <v>19</v>
      </c>
    </row>
    <row r="1636" s="3" customFormat="1" ht="18.75" spans="1:5">
      <c r="A1636" s="8" t="str">
        <f t="shared" si="29"/>
        <v>250009</v>
      </c>
      <c r="B1636" s="8" t="str">
        <f>"2561402010311"</f>
        <v>2561402010311</v>
      </c>
      <c r="C1636" s="8" t="s">
        <v>8</v>
      </c>
      <c r="D1636" s="9">
        <v>62.47</v>
      </c>
      <c r="E1636" s="8">
        <v>20</v>
      </c>
    </row>
    <row r="1637" s="3" customFormat="1" ht="18.75" spans="1:5">
      <c r="A1637" s="8" t="str">
        <f t="shared" si="29"/>
        <v>250009</v>
      </c>
      <c r="B1637" s="8" t="str">
        <f>"2561402010118"</f>
        <v>2561402010118</v>
      </c>
      <c r="C1637" s="8" t="s">
        <v>8</v>
      </c>
      <c r="D1637" s="9">
        <v>62.42</v>
      </c>
      <c r="E1637" s="8">
        <v>21</v>
      </c>
    </row>
    <row r="1638" s="3" customFormat="1" ht="18.75" spans="1:5">
      <c r="A1638" s="8" t="str">
        <f t="shared" si="29"/>
        <v>250009</v>
      </c>
      <c r="B1638" s="8" t="str">
        <f>"2561402010302"</f>
        <v>2561402010302</v>
      </c>
      <c r="C1638" s="8" t="s">
        <v>8</v>
      </c>
      <c r="D1638" s="9">
        <v>62.32</v>
      </c>
      <c r="E1638" s="8">
        <v>22</v>
      </c>
    </row>
    <row r="1639" s="3" customFormat="1" ht="18.75" spans="1:5">
      <c r="A1639" s="8" t="str">
        <f t="shared" si="29"/>
        <v>250009</v>
      </c>
      <c r="B1639" s="8" t="str">
        <f>"2561402010416"</f>
        <v>2561402010416</v>
      </c>
      <c r="C1639" s="8" t="s">
        <v>8</v>
      </c>
      <c r="D1639" s="9">
        <v>61.91</v>
      </c>
      <c r="E1639" s="8">
        <v>23</v>
      </c>
    </row>
    <row r="1640" s="3" customFormat="1" ht="18.75" spans="1:5">
      <c r="A1640" s="8" t="str">
        <f t="shared" si="29"/>
        <v>250009</v>
      </c>
      <c r="B1640" s="8" t="str">
        <f>"2561402010212"</f>
        <v>2561402010212</v>
      </c>
      <c r="C1640" s="8" t="s">
        <v>8</v>
      </c>
      <c r="D1640" s="9">
        <v>61.62</v>
      </c>
      <c r="E1640" s="8">
        <v>24</v>
      </c>
    </row>
    <row r="1641" s="3" customFormat="1" ht="18.75" spans="1:5">
      <c r="A1641" s="8" t="str">
        <f t="shared" si="29"/>
        <v>250009</v>
      </c>
      <c r="B1641" s="8" t="str">
        <f>"2561402010313"</f>
        <v>2561402010313</v>
      </c>
      <c r="C1641" s="8" t="s">
        <v>8</v>
      </c>
      <c r="D1641" s="9">
        <v>61.39</v>
      </c>
      <c r="E1641" s="8">
        <v>25</v>
      </c>
    </row>
    <row r="1642" s="3" customFormat="1" ht="18.75" spans="1:5">
      <c r="A1642" s="8" t="str">
        <f t="shared" si="29"/>
        <v>250009</v>
      </c>
      <c r="B1642" s="8" t="str">
        <f>"2561402010230"</f>
        <v>2561402010230</v>
      </c>
      <c r="C1642" s="8" t="s">
        <v>8</v>
      </c>
      <c r="D1642" s="9">
        <v>61.33</v>
      </c>
      <c r="E1642" s="8">
        <v>26</v>
      </c>
    </row>
    <row r="1643" s="3" customFormat="1" ht="18.75" spans="1:5">
      <c r="A1643" s="8" t="str">
        <f t="shared" si="29"/>
        <v>250009</v>
      </c>
      <c r="B1643" s="8" t="str">
        <f>"2561402010215"</f>
        <v>2561402010215</v>
      </c>
      <c r="C1643" s="8" t="s">
        <v>8</v>
      </c>
      <c r="D1643" s="9">
        <v>61.2</v>
      </c>
      <c r="E1643" s="8">
        <v>27</v>
      </c>
    </row>
    <row r="1644" s="3" customFormat="1" ht="18.75" spans="1:5">
      <c r="A1644" s="8" t="str">
        <f t="shared" si="29"/>
        <v>250009</v>
      </c>
      <c r="B1644" s="8" t="str">
        <f>"2561402010204"</f>
        <v>2561402010204</v>
      </c>
      <c r="C1644" s="8" t="s">
        <v>8</v>
      </c>
      <c r="D1644" s="9">
        <v>60.96</v>
      </c>
      <c r="E1644" s="8">
        <v>28</v>
      </c>
    </row>
    <row r="1645" s="3" customFormat="1" ht="18.75" spans="1:5">
      <c r="A1645" s="8" t="str">
        <f t="shared" si="29"/>
        <v>250009</v>
      </c>
      <c r="B1645" s="8" t="str">
        <f>"2561402010121"</f>
        <v>2561402010121</v>
      </c>
      <c r="C1645" s="8" t="s">
        <v>8</v>
      </c>
      <c r="D1645" s="9">
        <v>60.86</v>
      </c>
      <c r="E1645" s="8">
        <v>29</v>
      </c>
    </row>
    <row r="1646" s="3" customFormat="1" ht="18.75" spans="1:5">
      <c r="A1646" s="8" t="str">
        <f t="shared" si="29"/>
        <v>250009</v>
      </c>
      <c r="B1646" s="8" t="str">
        <f>"2561402010301"</f>
        <v>2561402010301</v>
      </c>
      <c r="C1646" s="8" t="s">
        <v>8</v>
      </c>
      <c r="D1646" s="9">
        <v>60.66</v>
      </c>
      <c r="E1646" s="8">
        <v>30</v>
      </c>
    </row>
    <row r="1647" s="3" customFormat="1" ht="18.75" spans="1:5">
      <c r="A1647" s="8" t="str">
        <f t="shared" si="29"/>
        <v>250009</v>
      </c>
      <c r="B1647" s="8" t="str">
        <f>"2561402010306"</f>
        <v>2561402010306</v>
      </c>
      <c r="C1647" s="8" t="s">
        <v>8</v>
      </c>
      <c r="D1647" s="9">
        <v>60.59</v>
      </c>
      <c r="E1647" s="8">
        <v>31</v>
      </c>
    </row>
    <row r="1648" s="3" customFormat="1" ht="18.75" spans="1:5">
      <c r="A1648" s="8" t="str">
        <f t="shared" si="29"/>
        <v>250009</v>
      </c>
      <c r="B1648" s="8" t="str">
        <f>"2561402010125"</f>
        <v>2561402010125</v>
      </c>
      <c r="C1648" s="8" t="s">
        <v>8</v>
      </c>
      <c r="D1648" s="9">
        <v>60.19</v>
      </c>
      <c r="E1648" s="8">
        <v>32</v>
      </c>
    </row>
    <row r="1649" s="3" customFormat="1" ht="18.75" spans="1:5">
      <c r="A1649" s="8" t="str">
        <f t="shared" si="29"/>
        <v>250009</v>
      </c>
      <c r="B1649" s="8" t="str">
        <f>"2561402010415"</f>
        <v>2561402010415</v>
      </c>
      <c r="C1649" s="8" t="s">
        <v>8</v>
      </c>
      <c r="D1649" s="9">
        <v>59.77</v>
      </c>
      <c r="E1649" s="8">
        <v>33</v>
      </c>
    </row>
    <row r="1650" s="3" customFormat="1" ht="18.75" spans="1:5">
      <c r="A1650" s="8" t="str">
        <f t="shared" si="29"/>
        <v>250009</v>
      </c>
      <c r="B1650" s="8" t="str">
        <f>"2561402010408"</f>
        <v>2561402010408</v>
      </c>
      <c r="C1650" s="8" t="s">
        <v>8</v>
      </c>
      <c r="D1650" s="9">
        <v>59.64</v>
      </c>
      <c r="E1650" s="8">
        <v>34</v>
      </c>
    </row>
    <row r="1651" s="3" customFormat="1" ht="18.75" spans="1:5">
      <c r="A1651" s="8" t="str">
        <f t="shared" si="29"/>
        <v>250009</v>
      </c>
      <c r="B1651" s="8" t="str">
        <f>"2561402010410"</f>
        <v>2561402010410</v>
      </c>
      <c r="C1651" s="8" t="s">
        <v>8</v>
      </c>
      <c r="D1651" s="9">
        <v>59.48</v>
      </c>
      <c r="E1651" s="8">
        <v>35</v>
      </c>
    </row>
    <row r="1652" s="3" customFormat="1" ht="18.75" spans="1:5">
      <c r="A1652" s="8" t="str">
        <f t="shared" si="29"/>
        <v>250009</v>
      </c>
      <c r="B1652" s="8" t="str">
        <f>"2561402010303"</f>
        <v>2561402010303</v>
      </c>
      <c r="C1652" s="8" t="s">
        <v>8</v>
      </c>
      <c r="D1652" s="9">
        <v>59.47</v>
      </c>
      <c r="E1652" s="8">
        <v>36</v>
      </c>
    </row>
    <row r="1653" s="3" customFormat="1" ht="18.75" spans="1:5">
      <c r="A1653" s="8" t="str">
        <f t="shared" si="29"/>
        <v>250009</v>
      </c>
      <c r="B1653" s="8" t="str">
        <f>"2561402010320"</f>
        <v>2561402010320</v>
      </c>
      <c r="C1653" s="8" t="s">
        <v>8</v>
      </c>
      <c r="D1653" s="9">
        <v>59.08</v>
      </c>
      <c r="E1653" s="8">
        <v>37</v>
      </c>
    </row>
    <row r="1654" s="3" customFormat="1" ht="18.75" spans="1:5">
      <c r="A1654" s="8" t="str">
        <f t="shared" si="29"/>
        <v>250009</v>
      </c>
      <c r="B1654" s="8" t="str">
        <f>"2561402010106"</f>
        <v>2561402010106</v>
      </c>
      <c r="C1654" s="8" t="s">
        <v>8</v>
      </c>
      <c r="D1654" s="9">
        <v>58.68</v>
      </c>
      <c r="E1654" s="8">
        <v>38</v>
      </c>
    </row>
    <row r="1655" s="3" customFormat="1" ht="18.75" spans="1:5">
      <c r="A1655" s="8" t="str">
        <f t="shared" si="29"/>
        <v>250009</v>
      </c>
      <c r="B1655" s="8" t="str">
        <f>"2561402010321"</f>
        <v>2561402010321</v>
      </c>
      <c r="C1655" s="8" t="s">
        <v>8</v>
      </c>
      <c r="D1655" s="9">
        <v>58.15</v>
      </c>
      <c r="E1655" s="8">
        <v>39</v>
      </c>
    </row>
    <row r="1656" s="3" customFormat="1" ht="18.75" spans="1:5">
      <c r="A1656" s="8" t="str">
        <f t="shared" si="29"/>
        <v>250009</v>
      </c>
      <c r="B1656" s="8" t="str">
        <f>"2561402010217"</f>
        <v>2561402010217</v>
      </c>
      <c r="C1656" s="8" t="s">
        <v>8</v>
      </c>
      <c r="D1656" s="9">
        <v>58.07</v>
      </c>
      <c r="E1656" s="8">
        <v>40</v>
      </c>
    </row>
    <row r="1657" s="3" customFormat="1" ht="18.75" spans="1:5">
      <c r="A1657" s="8" t="str">
        <f t="shared" si="29"/>
        <v>250009</v>
      </c>
      <c r="B1657" s="8" t="str">
        <f>"2561402010318"</f>
        <v>2561402010318</v>
      </c>
      <c r="C1657" s="8" t="s">
        <v>8</v>
      </c>
      <c r="D1657" s="9">
        <v>57.97</v>
      </c>
      <c r="E1657" s="8">
        <v>41</v>
      </c>
    </row>
    <row r="1658" s="3" customFormat="1" ht="18.75" spans="1:5">
      <c r="A1658" s="8" t="str">
        <f t="shared" si="29"/>
        <v>250009</v>
      </c>
      <c r="B1658" s="8" t="str">
        <f>"2561402010119"</f>
        <v>2561402010119</v>
      </c>
      <c r="C1658" s="8" t="s">
        <v>8</v>
      </c>
      <c r="D1658" s="9">
        <v>57.09</v>
      </c>
      <c r="E1658" s="8">
        <v>42</v>
      </c>
    </row>
    <row r="1659" s="3" customFormat="1" ht="18.75" spans="1:5">
      <c r="A1659" s="8" t="str">
        <f t="shared" si="29"/>
        <v>250009</v>
      </c>
      <c r="B1659" s="8" t="str">
        <f>"2561402010210"</f>
        <v>2561402010210</v>
      </c>
      <c r="C1659" s="8" t="s">
        <v>8</v>
      </c>
      <c r="D1659" s="9">
        <v>57.04</v>
      </c>
      <c r="E1659" s="8">
        <v>43</v>
      </c>
    </row>
    <row r="1660" s="3" customFormat="1" ht="18.75" spans="1:5">
      <c r="A1660" s="8" t="str">
        <f t="shared" si="29"/>
        <v>250009</v>
      </c>
      <c r="B1660" s="8" t="str">
        <f>"2561402010315"</f>
        <v>2561402010315</v>
      </c>
      <c r="C1660" s="8" t="s">
        <v>8</v>
      </c>
      <c r="D1660" s="9">
        <v>56.93</v>
      </c>
      <c r="E1660" s="8">
        <v>44</v>
      </c>
    </row>
    <row r="1661" s="3" customFormat="1" ht="18.75" spans="1:5">
      <c r="A1661" s="8" t="str">
        <f t="shared" si="29"/>
        <v>250009</v>
      </c>
      <c r="B1661" s="8" t="str">
        <f>"2561402010305"</f>
        <v>2561402010305</v>
      </c>
      <c r="C1661" s="8" t="s">
        <v>8</v>
      </c>
      <c r="D1661" s="9">
        <v>56.86</v>
      </c>
      <c r="E1661" s="8">
        <v>45</v>
      </c>
    </row>
    <row r="1662" s="3" customFormat="1" ht="18.75" spans="1:5">
      <c r="A1662" s="8" t="str">
        <f t="shared" si="29"/>
        <v>250009</v>
      </c>
      <c r="B1662" s="8" t="str">
        <f>"2561402010228"</f>
        <v>2561402010228</v>
      </c>
      <c r="C1662" s="8" t="s">
        <v>8</v>
      </c>
      <c r="D1662" s="9">
        <v>56.79</v>
      </c>
      <c r="E1662" s="8">
        <v>46</v>
      </c>
    </row>
    <row r="1663" s="3" customFormat="1" ht="18.75" spans="1:5">
      <c r="A1663" s="8" t="str">
        <f t="shared" si="29"/>
        <v>250009</v>
      </c>
      <c r="B1663" s="8" t="str">
        <f>"2561402010218"</f>
        <v>2561402010218</v>
      </c>
      <c r="C1663" s="8" t="s">
        <v>8</v>
      </c>
      <c r="D1663" s="9">
        <v>56.62</v>
      </c>
      <c r="E1663" s="8">
        <v>47</v>
      </c>
    </row>
    <row r="1664" s="3" customFormat="1" ht="18.75" spans="1:5">
      <c r="A1664" s="8" t="str">
        <f t="shared" si="29"/>
        <v>250009</v>
      </c>
      <c r="B1664" s="8" t="str">
        <f>"2561402010104"</f>
        <v>2561402010104</v>
      </c>
      <c r="C1664" s="8" t="s">
        <v>8</v>
      </c>
      <c r="D1664" s="9">
        <v>56.58</v>
      </c>
      <c r="E1664" s="8">
        <v>48</v>
      </c>
    </row>
    <row r="1665" s="3" customFormat="1" ht="18.75" spans="1:5">
      <c r="A1665" s="8" t="str">
        <f t="shared" si="29"/>
        <v>250009</v>
      </c>
      <c r="B1665" s="8" t="str">
        <f>"2561402010414"</f>
        <v>2561402010414</v>
      </c>
      <c r="C1665" s="8" t="s">
        <v>8</v>
      </c>
      <c r="D1665" s="9">
        <v>56.37</v>
      </c>
      <c r="E1665" s="8">
        <v>49</v>
      </c>
    </row>
    <row r="1666" s="3" customFormat="1" ht="18.75" spans="1:5">
      <c r="A1666" s="8" t="str">
        <f t="shared" si="29"/>
        <v>250009</v>
      </c>
      <c r="B1666" s="8" t="str">
        <f>"2561402010207"</f>
        <v>2561402010207</v>
      </c>
      <c r="C1666" s="8" t="s">
        <v>8</v>
      </c>
      <c r="D1666" s="9">
        <v>56.3</v>
      </c>
      <c r="E1666" s="8">
        <v>50</v>
      </c>
    </row>
    <row r="1667" s="3" customFormat="1" ht="18.75" spans="1:5">
      <c r="A1667" s="8" t="str">
        <f t="shared" si="29"/>
        <v>250009</v>
      </c>
      <c r="B1667" s="8" t="str">
        <f>"2561402010109"</f>
        <v>2561402010109</v>
      </c>
      <c r="C1667" s="8" t="s">
        <v>8</v>
      </c>
      <c r="D1667" s="9">
        <v>56.11</v>
      </c>
      <c r="E1667" s="8">
        <v>51</v>
      </c>
    </row>
    <row r="1668" s="3" customFormat="1" ht="18.75" spans="1:5">
      <c r="A1668" s="8" t="str">
        <f t="shared" si="29"/>
        <v>250009</v>
      </c>
      <c r="B1668" s="8" t="str">
        <f>"2561402010202"</f>
        <v>2561402010202</v>
      </c>
      <c r="C1668" s="8" t="s">
        <v>8</v>
      </c>
      <c r="D1668" s="9">
        <v>55.84</v>
      </c>
      <c r="E1668" s="8">
        <v>52</v>
      </c>
    </row>
    <row r="1669" s="3" customFormat="1" ht="18.75" spans="1:5">
      <c r="A1669" s="8" t="str">
        <f t="shared" si="29"/>
        <v>250009</v>
      </c>
      <c r="B1669" s="8" t="str">
        <f>"2561402010115"</f>
        <v>2561402010115</v>
      </c>
      <c r="C1669" s="8" t="s">
        <v>8</v>
      </c>
      <c r="D1669" s="9">
        <v>55.68</v>
      </c>
      <c r="E1669" s="8">
        <v>53</v>
      </c>
    </row>
    <row r="1670" s="3" customFormat="1" ht="18.75" spans="1:5">
      <c r="A1670" s="8" t="str">
        <f t="shared" si="29"/>
        <v>250009</v>
      </c>
      <c r="B1670" s="8" t="str">
        <f>"2561402010222"</f>
        <v>2561402010222</v>
      </c>
      <c r="C1670" s="8" t="s">
        <v>8</v>
      </c>
      <c r="D1670" s="9">
        <v>55.49</v>
      </c>
      <c r="E1670" s="8">
        <v>54</v>
      </c>
    </row>
    <row r="1671" s="3" customFormat="1" ht="18.75" spans="1:5">
      <c r="A1671" s="8" t="str">
        <f t="shared" si="29"/>
        <v>250009</v>
      </c>
      <c r="B1671" s="8" t="str">
        <f>"2561402010422"</f>
        <v>2561402010422</v>
      </c>
      <c r="C1671" s="8" t="s">
        <v>8</v>
      </c>
      <c r="D1671" s="9">
        <v>55.06</v>
      </c>
      <c r="E1671" s="8">
        <v>55</v>
      </c>
    </row>
    <row r="1672" s="3" customFormat="1" ht="18.75" spans="1:5">
      <c r="A1672" s="8" t="str">
        <f t="shared" si="29"/>
        <v>250009</v>
      </c>
      <c r="B1672" s="8" t="str">
        <f>"2561402010206"</f>
        <v>2561402010206</v>
      </c>
      <c r="C1672" s="8" t="s">
        <v>8</v>
      </c>
      <c r="D1672" s="9">
        <v>54.94</v>
      </c>
      <c r="E1672" s="8">
        <v>56</v>
      </c>
    </row>
    <row r="1673" s="3" customFormat="1" ht="18.75" spans="1:5">
      <c r="A1673" s="8" t="str">
        <f t="shared" si="29"/>
        <v>250009</v>
      </c>
      <c r="B1673" s="8" t="str">
        <f>"2561402010126"</f>
        <v>2561402010126</v>
      </c>
      <c r="C1673" s="8" t="s">
        <v>8</v>
      </c>
      <c r="D1673" s="9">
        <v>54.21</v>
      </c>
      <c r="E1673" s="8">
        <v>57</v>
      </c>
    </row>
    <row r="1674" s="3" customFormat="1" ht="18.75" spans="1:5">
      <c r="A1674" s="8" t="str">
        <f t="shared" si="29"/>
        <v>250009</v>
      </c>
      <c r="B1674" s="8" t="str">
        <f>"2561402010404"</f>
        <v>2561402010404</v>
      </c>
      <c r="C1674" s="8" t="s">
        <v>8</v>
      </c>
      <c r="D1674" s="9">
        <v>53.78</v>
      </c>
      <c r="E1674" s="8">
        <v>58</v>
      </c>
    </row>
    <row r="1675" s="3" customFormat="1" ht="18.75" spans="1:5">
      <c r="A1675" s="8" t="str">
        <f t="shared" si="29"/>
        <v>250009</v>
      </c>
      <c r="B1675" s="8" t="str">
        <f>"2561402010322"</f>
        <v>2561402010322</v>
      </c>
      <c r="C1675" s="8" t="s">
        <v>8</v>
      </c>
      <c r="D1675" s="9">
        <v>53.56</v>
      </c>
      <c r="E1675" s="8">
        <v>59</v>
      </c>
    </row>
    <row r="1676" s="3" customFormat="1" ht="18.75" spans="1:5">
      <c r="A1676" s="8" t="str">
        <f t="shared" si="29"/>
        <v>250009</v>
      </c>
      <c r="B1676" s="8" t="str">
        <f>"2561402010123"</f>
        <v>2561402010123</v>
      </c>
      <c r="C1676" s="8" t="s">
        <v>8</v>
      </c>
      <c r="D1676" s="9">
        <v>53.1</v>
      </c>
      <c r="E1676" s="8">
        <v>60</v>
      </c>
    </row>
    <row r="1677" s="3" customFormat="1" ht="18.75" spans="1:5">
      <c r="A1677" s="8" t="str">
        <f t="shared" si="29"/>
        <v>250009</v>
      </c>
      <c r="B1677" s="8" t="str">
        <f>"2561402010317"</f>
        <v>2561402010317</v>
      </c>
      <c r="C1677" s="8" t="s">
        <v>8</v>
      </c>
      <c r="D1677" s="9">
        <v>52.99</v>
      </c>
      <c r="E1677" s="8">
        <v>61</v>
      </c>
    </row>
    <row r="1678" s="3" customFormat="1" ht="18.75" spans="1:5">
      <c r="A1678" s="8" t="str">
        <f t="shared" si="29"/>
        <v>250009</v>
      </c>
      <c r="B1678" s="8" t="str">
        <f>"2561402010225"</f>
        <v>2561402010225</v>
      </c>
      <c r="C1678" s="8" t="s">
        <v>8</v>
      </c>
      <c r="D1678" s="9">
        <v>52.72</v>
      </c>
      <c r="E1678" s="8">
        <v>62</v>
      </c>
    </row>
    <row r="1679" s="3" customFormat="1" ht="18.75" spans="1:5">
      <c r="A1679" s="8" t="str">
        <f t="shared" si="29"/>
        <v>250009</v>
      </c>
      <c r="B1679" s="8" t="str">
        <f>"2561402010316"</f>
        <v>2561402010316</v>
      </c>
      <c r="C1679" s="8" t="s">
        <v>8</v>
      </c>
      <c r="D1679" s="9">
        <v>52.66</v>
      </c>
      <c r="E1679" s="8">
        <v>63</v>
      </c>
    </row>
    <row r="1680" s="3" customFormat="1" ht="18.75" spans="1:5">
      <c r="A1680" s="8" t="str">
        <f t="shared" si="29"/>
        <v>250009</v>
      </c>
      <c r="B1680" s="8" t="str">
        <f>"2561402010401"</f>
        <v>2561402010401</v>
      </c>
      <c r="C1680" s="8" t="s">
        <v>8</v>
      </c>
      <c r="D1680" s="9">
        <v>50.63</v>
      </c>
      <c r="E1680" s="8">
        <v>64</v>
      </c>
    </row>
    <row r="1681" s="3" customFormat="1" ht="18.75" spans="1:5">
      <c r="A1681" s="8" t="str">
        <f t="shared" ref="A1681:A1728" si="30">"250009"</f>
        <v>250009</v>
      </c>
      <c r="B1681" s="8" t="str">
        <f>"2561402010403"</f>
        <v>2561402010403</v>
      </c>
      <c r="C1681" s="8" t="s">
        <v>8</v>
      </c>
      <c r="D1681" s="9">
        <v>50.36</v>
      </c>
      <c r="E1681" s="8">
        <v>65</v>
      </c>
    </row>
    <row r="1682" s="3" customFormat="1" ht="18.75" spans="1:5">
      <c r="A1682" s="8" t="str">
        <f t="shared" si="30"/>
        <v>250009</v>
      </c>
      <c r="B1682" s="8" t="str">
        <f>"2561402010130"</f>
        <v>2561402010130</v>
      </c>
      <c r="C1682" s="8" t="s">
        <v>8</v>
      </c>
      <c r="D1682" s="9">
        <v>48.4</v>
      </c>
      <c r="E1682" s="8">
        <v>66</v>
      </c>
    </row>
    <row r="1683" s="3" customFormat="1" ht="18.75" spans="1:5">
      <c r="A1683" s="8" t="str">
        <f t="shared" si="30"/>
        <v>250009</v>
      </c>
      <c r="B1683" s="8" t="str">
        <f>"2561402010402"</f>
        <v>2561402010402</v>
      </c>
      <c r="C1683" s="8" t="s">
        <v>8</v>
      </c>
      <c r="D1683" s="9">
        <v>47.74</v>
      </c>
      <c r="E1683" s="8">
        <v>67</v>
      </c>
    </row>
    <row r="1684" s="3" customFormat="1" ht="18.75" spans="1:5">
      <c r="A1684" s="8" t="str">
        <f t="shared" si="30"/>
        <v>250009</v>
      </c>
      <c r="B1684" s="8" t="str">
        <f>"2561402010324"</f>
        <v>2561402010324</v>
      </c>
      <c r="C1684" s="8" t="s">
        <v>8</v>
      </c>
      <c r="D1684" s="9">
        <v>47.3</v>
      </c>
      <c r="E1684" s="8">
        <v>68</v>
      </c>
    </row>
    <row r="1685" s="3" customFormat="1" ht="18.75" spans="1:5">
      <c r="A1685" s="8" t="str">
        <f t="shared" si="30"/>
        <v>250009</v>
      </c>
      <c r="B1685" s="8" t="str">
        <f>"2561402010304"</f>
        <v>2561402010304</v>
      </c>
      <c r="C1685" s="8" t="s">
        <v>8</v>
      </c>
      <c r="D1685" s="9">
        <v>47.25</v>
      </c>
      <c r="E1685" s="8">
        <v>69</v>
      </c>
    </row>
    <row r="1686" s="3" customFormat="1" ht="18.75" spans="1:5">
      <c r="A1686" s="8" t="str">
        <f t="shared" si="30"/>
        <v>250009</v>
      </c>
      <c r="B1686" s="8" t="str">
        <f>"2561402010129"</f>
        <v>2561402010129</v>
      </c>
      <c r="C1686" s="8" t="s">
        <v>8</v>
      </c>
      <c r="D1686" s="9">
        <v>47.14</v>
      </c>
      <c r="E1686" s="8">
        <v>70</v>
      </c>
    </row>
    <row r="1687" s="3" customFormat="1" ht="18.75" spans="1:5">
      <c r="A1687" s="8" t="str">
        <f t="shared" si="30"/>
        <v>250009</v>
      </c>
      <c r="B1687" s="8" t="str">
        <f>"2561402010328"</f>
        <v>2561402010328</v>
      </c>
      <c r="C1687" s="8" t="s">
        <v>8</v>
      </c>
      <c r="D1687" s="9">
        <v>46.58</v>
      </c>
      <c r="E1687" s="8">
        <v>71</v>
      </c>
    </row>
    <row r="1688" s="3" customFormat="1" ht="18.75" spans="1:5">
      <c r="A1688" s="8" t="str">
        <f t="shared" si="30"/>
        <v>250009</v>
      </c>
      <c r="B1688" s="8" t="str">
        <f>"2561402010421"</f>
        <v>2561402010421</v>
      </c>
      <c r="C1688" s="8" t="s">
        <v>8</v>
      </c>
      <c r="D1688" s="9">
        <v>32.49</v>
      </c>
      <c r="E1688" s="8">
        <v>72</v>
      </c>
    </row>
    <row r="1689" s="3" customFormat="1" ht="18.75" spans="1:5">
      <c r="A1689" s="8" t="str">
        <f t="shared" si="30"/>
        <v>250009</v>
      </c>
      <c r="B1689" s="8" t="str">
        <f>"2561402010117"</f>
        <v>2561402010117</v>
      </c>
      <c r="C1689" s="8" t="s">
        <v>8</v>
      </c>
      <c r="D1689" s="9">
        <v>22.94</v>
      </c>
      <c r="E1689" s="8">
        <v>73</v>
      </c>
    </row>
    <row r="1690" s="3" customFormat="1" ht="18.75" spans="1:5">
      <c r="A1690" s="8" t="str">
        <f t="shared" si="30"/>
        <v>250009</v>
      </c>
      <c r="B1690" s="8" t="str">
        <f>"2561402010101"</f>
        <v>2561402010101</v>
      </c>
      <c r="C1690" s="8" t="s">
        <v>8</v>
      </c>
      <c r="D1690" s="9">
        <v>0</v>
      </c>
      <c r="E1690" s="8">
        <v>74</v>
      </c>
    </row>
    <row r="1691" s="3" customFormat="1" ht="18.75" spans="1:5">
      <c r="A1691" s="8" t="str">
        <f t="shared" si="30"/>
        <v>250009</v>
      </c>
      <c r="B1691" s="8" t="str">
        <f>"2561402010102"</f>
        <v>2561402010102</v>
      </c>
      <c r="C1691" s="8" t="s">
        <v>8</v>
      </c>
      <c r="D1691" s="9">
        <v>0</v>
      </c>
      <c r="E1691" s="8">
        <v>74</v>
      </c>
    </row>
    <row r="1692" s="3" customFormat="1" ht="18.75" spans="1:5">
      <c r="A1692" s="8" t="str">
        <f t="shared" si="30"/>
        <v>250009</v>
      </c>
      <c r="B1692" s="8" t="str">
        <f>"2561402010107"</f>
        <v>2561402010107</v>
      </c>
      <c r="C1692" s="8" t="s">
        <v>8</v>
      </c>
      <c r="D1692" s="9">
        <v>0</v>
      </c>
      <c r="E1692" s="8">
        <v>74</v>
      </c>
    </row>
    <row r="1693" s="3" customFormat="1" ht="18.75" spans="1:5">
      <c r="A1693" s="8" t="str">
        <f t="shared" si="30"/>
        <v>250009</v>
      </c>
      <c r="B1693" s="8" t="str">
        <f>"2561402010108"</f>
        <v>2561402010108</v>
      </c>
      <c r="C1693" s="8" t="s">
        <v>8</v>
      </c>
      <c r="D1693" s="9">
        <v>0</v>
      </c>
      <c r="E1693" s="8">
        <v>74</v>
      </c>
    </row>
    <row r="1694" s="3" customFormat="1" ht="18.75" spans="1:5">
      <c r="A1694" s="8" t="str">
        <f t="shared" si="30"/>
        <v>250009</v>
      </c>
      <c r="B1694" s="8" t="str">
        <f>"2561402010110"</f>
        <v>2561402010110</v>
      </c>
      <c r="C1694" s="8" t="s">
        <v>8</v>
      </c>
      <c r="D1694" s="9">
        <v>0</v>
      </c>
      <c r="E1694" s="8">
        <v>74</v>
      </c>
    </row>
    <row r="1695" s="3" customFormat="1" ht="18.75" spans="1:5">
      <c r="A1695" s="8" t="str">
        <f t="shared" si="30"/>
        <v>250009</v>
      </c>
      <c r="B1695" s="8" t="str">
        <f>"2561402010111"</f>
        <v>2561402010111</v>
      </c>
      <c r="C1695" s="8" t="s">
        <v>8</v>
      </c>
      <c r="D1695" s="9">
        <v>0</v>
      </c>
      <c r="E1695" s="8">
        <v>74</v>
      </c>
    </row>
    <row r="1696" s="3" customFormat="1" ht="18.75" spans="1:5">
      <c r="A1696" s="8" t="str">
        <f t="shared" si="30"/>
        <v>250009</v>
      </c>
      <c r="B1696" s="8" t="str">
        <f>"2561402010113"</f>
        <v>2561402010113</v>
      </c>
      <c r="C1696" s="8" t="s">
        <v>8</v>
      </c>
      <c r="D1696" s="9">
        <v>0</v>
      </c>
      <c r="E1696" s="8">
        <v>74</v>
      </c>
    </row>
    <row r="1697" s="3" customFormat="1" ht="18.75" spans="1:5">
      <c r="A1697" s="8" t="str">
        <f t="shared" si="30"/>
        <v>250009</v>
      </c>
      <c r="B1697" s="8" t="str">
        <f>"2561402010114"</f>
        <v>2561402010114</v>
      </c>
      <c r="C1697" s="8" t="s">
        <v>8</v>
      </c>
      <c r="D1697" s="9">
        <v>0</v>
      </c>
      <c r="E1697" s="8">
        <v>74</v>
      </c>
    </row>
    <row r="1698" s="3" customFormat="1" ht="18.75" spans="1:5">
      <c r="A1698" s="8" t="str">
        <f t="shared" si="30"/>
        <v>250009</v>
      </c>
      <c r="B1698" s="8" t="str">
        <f>"2561402010116"</f>
        <v>2561402010116</v>
      </c>
      <c r="C1698" s="8" t="s">
        <v>8</v>
      </c>
      <c r="D1698" s="9">
        <v>0</v>
      </c>
      <c r="E1698" s="8">
        <v>74</v>
      </c>
    </row>
    <row r="1699" s="3" customFormat="1" ht="18.75" spans="1:5">
      <c r="A1699" s="8" t="str">
        <f t="shared" si="30"/>
        <v>250009</v>
      </c>
      <c r="B1699" s="8" t="str">
        <f>"2561402010120"</f>
        <v>2561402010120</v>
      </c>
      <c r="C1699" s="8" t="s">
        <v>8</v>
      </c>
      <c r="D1699" s="9">
        <v>0</v>
      </c>
      <c r="E1699" s="8">
        <v>74</v>
      </c>
    </row>
    <row r="1700" s="3" customFormat="1" ht="18.75" spans="1:5">
      <c r="A1700" s="8" t="str">
        <f t="shared" si="30"/>
        <v>250009</v>
      </c>
      <c r="B1700" s="8" t="str">
        <f>"2561402010201"</f>
        <v>2561402010201</v>
      </c>
      <c r="C1700" s="8" t="s">
        <v>8</v>
      </c>
      <c r="D1700" s="9">
        <v>0</v>
      </c>
      <c r="E1700" s="8">
        <v>74</v>
      </c>
    </row>
    <row r="1701" s="3" customFormat="1" ht="18.75" spans="1:5">
      <c r="A1701" s="8" t="str">
        <f t="shared" si="30"/>
        <v>250009</v>
      </c>
      <c r="B1701" s="8" t="str">
        <f>"2561402010208"</f>
        <v>2561402010208</v>
      </c>
      <c r="C1701" s="8" t="s">
        <v>8</v>
      </c>
      <c r="D1701" s="9">
        <v>0</v>
      </c>
      <c r="E1701" s="8">
        <v>74</v>
      </c>
    </row>
    <row r="1702" s="3" customFormat="1" ht="18.75" spans="1:5">
      <c r="A1702" s="8" t="str">
        <f t="shared" si="30"/>
        <v>250009</v>
      </c>
      <c r="B1702" s="8" t="str">
        <f>"2561402010209"</f>
        <v>2561402010209</v>
      </c>
      <c r="C1702" s="8" t="s">
        <v>8</v>
      </c>
      <c r="D1702" s="9">
        <v>0</v>
      </c>
      <c r="E1702" s="8">
        <v>74</v>
      </c>
    </row>
    <row r="1703" s="3" customFormat="1" ht="18.75" spans="1:5">
      <c r="A1703" s="8" t="str">
        <f t="shared" si="30"/>
        <v>250009</v>
      </c>
      <c r="B1703" s="8" t="str">
        <f>"2561402010211"</f>
        <v>2561402010211</v>
      </c>
      <c r="C1703" s="8" t="s">
        <v>8</v>
      </c>
      <c r="D1703" s="9">
        <v>0</v>
      </c>
      <c r="E1703" s="8">
        <v>74</v>
      </c>
    </row>
    <row r="1704" s="3" customFormat="1" ht="18.75" spans="1:5">
      <c r="A1704" s="8" t="str">
        <f t="shared" si="30"/>
        <v>250009</v>
      </c>
      <c r="B1704" s="8" t="str">
        <f>"2561402010216"</f>
        <v>2561402010216</v>
      </c>
      <c r="C1704" s="8" t="s">
        <v>8</v>
      </c>
      <c r="D1704" s="9">
        <v>0</v>
      </c>
      <c r="E1704" s="8">
        <v>74</v>
      </c>
    </row>
    <row r="1705" s="3" customFormat="1" ht="18.75" spans="1:5">
      <c r="A1705" s="8" t="str">
        <f t="shared" si="30"/>
        <v>250009</v>
      </c>
      <c r="B1705" s="8" t="str">
        <f>"2561402010219"</f>
        <v>2561402010219</v>
      </c>
      <c r="C1705" s="8" t="s">
        <v>8</v>
      </c>
      <c r="D1705" s="9">
        <v>0</v>
      </c>
      <c r="E1705" s="8">
        <v>74</v>
      </c>
    </row>
    <row r="1706" s="3" customFormat="1" ht="18.75" spans="1:5">
      <c r="A1706" s="8" t="str">
        <f t="shared" si="30"/>
        <v>250009</v>
      </c>
      <c r="B1706" s="8" t="str">
        <f>"2561402010221"</f>
        <v>2561402010221</v>
      </c>
      <c r="C1706" s="8" t="s">
        <v>8</v>
      </c>
      <c r="D1706" s="9">
        <v>0</v>
      </c>
      <c r="E1706" s="8">
        <v>74</v>
      </c>
    </row>
    <row r="1707" s="3" customFormat="1" ht="18.75" spans="1:5">
      <c r="A1707" s="8" t="str">
        <f t="shared" si="30"/>
        <v>250009</v>
      </c>
      <c r="B1707" s="8" t="str">
        <f>"2561402010224"</f>
        <v>2561402010224</v>
      </c>
      <c r="C1707" s="8" t="s">
        <v>8</v>
      </c>
      <c r="D1707" s="9">
        <v>0</v>
      </c>
      <c r="E1707" s="8">
        <v>74</v>
      </c>
    </row>
    <row r="1708" s="3" customFormat="1" ht="18.75" spans="1:5">
      <c r="A1708" s="8" t="str">
        <f t="shared" si="30"/>
        <v>250009</v>
      </c>
      <c r="B1708" s="8" t="str">
        <f>"2561402010227"</f>
        <v>2561402010227</v>
      </c>
      <c r="C1708" s="8" t="s">
        <v>8</v>
      </c>
      <c r="D1708" s="9">
        <v>0</v>
      </c>
      <c r="E1708" s="8">
        <v>74</v>
      </c>
    </row>
    <row r="1709" s="3" customFormat="1" ht="18.75" spans="1:5">
      <c r="A1709" s="8" t="str">
        <f t="shared" si="30"/>
        <v>250009</v>
      </c>
      <c r="B1709" s="8" t="str">
        <f>"2561402010229"</f>
        <v>2561402010229</v>
      </c>
      <c r="C1709" s="8" t="s">
        <v>8</v>
      </c>
      <c r="D1709" s="9">
        <v>0</v>
      </c>
      <c r="E1709" s="8">
        <v>74</v>
      </c>
    </row>
    <row r="1710" s="3" customFormat="1" ht="18.75" spans="1:5">
      <c r="A1710" s="8" t="str">
        <f t="shared" si="30"/>
        <v>250009</v>
      </c>
      <c r="B1710" s="8" t="str">
        <f>"2561402010307"</f>
        <v>2561402010307</v>
      </c>
      <c r="C1710" s="8" t="s">
        <v>8</v>
      </c>
      <c r="D1710" s="9">
        <v>0</v>
      </c>
      <c r="E1710" s="8">
        <v>74</v>
      </c>
    </row>
    <row r="1711" s="3" customFormat="1" ht="18.75" spans="1:5">
      <c r="A1711" s="8" t="str">
        <f t="shared" si="30"/>
        <v>250009</v>
      </c>
      <c r="B1711" s="8" t="str">
        <f>"2561402010308"</f>
        <v>2561402010308</v>
      </c>
      <c r="C1711" s="8" t="s">
        <v>8</v>
      </c>
      <c r="D1711" s="9">
        <v>0</v>
      </c>
      <c r="E1711" s="8">
        <v>74</v>
      </c>
    </row>
    <row r="1712" s="3" customFormat="1" ht="18.75" spans="1:5">
      <c r="A1712" s="8" t="str">
        <f t="shared" si="30"/>
        <v>250009</v>
      </c>
      <c r="B1712" s="8" t="str">
        <f>"2561402010310"</f>
        <v>2561402010310</v>
      </c>
      <c r="C1712" s="8" t="s">
        <v>8</v>
      </c>
      <c r="D1712" s="9">
        <v>0</v>
      </c>
      <c r="E1712" s="8">
        <v>74</v>
      </c>
    </row>
    <row r="1713" s="3" customFormat="1" ht="18.75" spans="1:5">
      <c r="A1713" s="8" t="str">
        <f t="shared" si="30"/>
        <v>250009</v>
      </c>
      <c r="B1713" s="8" t="str">
        <f>"2561402010312"</f>
        <v>2561402010312</v>
      </c>
      <c r="C1713" s="8" t="s">
        <v>8</v>
      </c>
      <c r="D1713" s="9">
        <v>0</v>
      </c>
      <c r="E1713" s="8">
        <v>74</v>
      </c>
    </row>
    <row r="1714" s="3" customFormat="1" ht="18.75" spans="1:5">
      <c r="A1714" s="8" t="str">
        <f t="shared" si="30"/>
        <v>250009</v>
      </c>
      <c r="B1714" s="8" t="str">
        <f>"2561402010314"</f>
        <v>2561402010314</v>
      </c>
      <c r="C1714" s="8" t="s">
        <v>8</v>
      </c>
      <c r="D1714" s="9">
        <v>0</v>
      </c>
      <c r="E1714" s="8">
        <v>74</v>
      </c>
    </row>
    <row r="1715" s="3" customFormat="1" ht="18.75" spans="1:5">
      <c r="A1715" s="8" t="str">
        <f t="shared" si="30"/>
        <v>250009</v>
      </c>
      <c r="B1715" s="8" t="str">
        <f>"2561402010323"</f>
        <v>2561402010323</v>
      </c>
      <c r="C1715" s="8" t="s">
        <v>8</v>
      </c>
      <c r="D1715" s="9">
        <v>0</v>
      </c>
      <c r="E1715" s="8">
        <v>74</v>
      </c>
    </row>
    <row r="1716" s="3" customFormat="1" ht="18.75" spans="1:5">
      <c r="A1716" s="8" t="str">
        <f t="shared" si="30"/>
        <v>250009</v>
      </c>
      <c r="B1716" s="8" t="str">
        <f>"2561402010325"</f>
        <v>2561402010325</v>
      </c>
      <c r="C1716" s="8" t="s">
        <v>8</v>
      </c>
      <c r="D1716" s="9">
        <v>0</v>
      </c>
      <c r="E1716" s="8">
        <v>74</v>
      </c>
    </row>
    <row r="1717" s="3" customFormat="1" ht="18.75" spans="1:5">
      <c r="A1717" s="8" t="str">
        <f t="shared" si="30"/>
        <v>250009</v>
      </c>
      <c r="B1717" s="8" t="str">
        <f>"2561402010326"</f>
        <v>2561402010326</v>
      </c>
      <c r="C1717" s="8" t="s">
        <v>8</v>
      </c>
      <c r="D1717" s="9">
        <v>0</v>
      </c>
      <c r="E1717" s="8">
        <v>74</v>
      </c>
    </row>
    <row r="1718" s="3" customFormat="1" ht="18.75" spans="1:5">
      <c r="A1718" s="8" t="str">
        <f t="shared" si="30"/>
        <v>250009</v>
      </c>
      <c r="B1718" s="8" t="str">
        <f>"2561402010327"</f>
        <v>2561402010327</v>
      </c>
      <c r="C1718" s="8" t="s">
        <v>8</v>
      </c>
      <c r="D1718" s="9">
        <v>0</v>
      </c>
      <c r="E1718" s="8">
        <v>74</v>
      </c>
    </row>
    <row r="1719" s="3" customFormat="1" ht="18.75" spans="1:5">
      <c r="A1719" s="8" t="str">
        <f t="shared" si="30"/>
        <v>250009</v>
      </c>
      <c r="B1719" s="8" t="str">
        <f>"2561402010329"</f>
        <v>2561402010329</v>
      </c>
      <c r="C1719" s="8" t="s">
        <v>8</v>
      </c>
      <c r="D1719" s="9">
        <v>0</v>
      </c>
      <c r="E1719" s="8">
        <v>74</v>
      </c>
    </row>
    <row r="1720" s="3" customFormat="1" ht="18.75" spans="1:5">
      <c r="A1720" s="8" t="str">
        <f t="shared" si="30"/>
        <v>250009</v>
      </c>
      <c r="B1720" s="8" t="str">
        <f>"2561402010405"</f>
        <v>2561402010405</v>
      </c>
      <c r="C1720" s="8" t="s">
        <v>8</v>
      </c>
      <c r="D1720" s="9">
        <v>0</v>
      </c>
      <c r="E1720" s="8">
        <v>74</v>
      </c>
    </row>
    <row r="1721" s="3" customFormat="1" ht="18.75" spans="1:5">
      <c r="A1721" s="8" t="str">
        <f t="shared" si="30"/>
        <v>250009</v>
      </c>
      <c r="B1721" s="8" t="str">
        <f>"2561402010406"</f>
        <v>2561402010406</v>
      </c>
      <c r="C1721" s="8" t="s">
        <v>8</v>
      </c>
      <c r="D1721" s="9">
        <v>0</v>
      </c>
      <c r="E1721" s="8">
        <v>74</v>
      </c>
    </row>
    <row r="1722" s="3" customFormat="1" ht="18.75" spans="1:5">
      <c r="A1722" s="8" t="str">
        <f t="shared" si="30"/>
        <v>250009</v>
      </c>
      <c r="B1722" s="8" t="str">
        <f>"2561402010407"</f>
        <v>2561402010407</v>
      </c>
      <c r="C1722" s="8" t="s">
        <v>8</v>
      </c>
      <c r="D1722" s="9">
        <v>0</v>
      </c>
      <c r="E1722" s="8">
        <v>74</v>
      </c>
    </row>
    <row r="1723" s="3" customFormat="1" ht="18.75" spans="1:5">
      <c r="A1723" s="8" t="str">
        <f t="shared" si="30"/>
        <v>250009</v>
      </c>
      <c r="B1723" s="8" t="str">
        <f>"2561402010409"</f>
        <v>2561402010409</v>
      </c>
      <c r="C1723" s="8" t="s">
        <v>8</v>
      </c>
      <c r="D1723" s="9">
        <v>0</v>
      </c>
      <c r="E1723" s="8">
        <v>74</v>
      </c>
    </row>
    <row r="1724" s="3" customFormat="1" ht="18.75" spans="1:5">
      <c r="A1724" s="8" t="str">
        <f t="shared" si="30"/>
        <v>250009</v>
      </c>
      <c r="B1724" s="8" t="str">
        <f>"2561402010411"</f>
        <v>2561402010411</v>
      </c>
      <c r="C1724" s="8" t="s">
        <v>8</v>
      </c>
      <c r="D1724" s="9">
        <v>0</v>
      </c>
      <c r="E1724" s="8">
        <v>74</v>
      </c>
    </row>
    <row r="1725" s="3" customFormat="1" ht="18.75" spans="1:5">
      <c r="A1725" s="8" t="str">
        <f t="shared" si="30"/>
        <v>250009</v>
      </c>
      <c r="B1725" s="8" t="str">
        <f>"2561402010412"</f>
        <v>2561402010412</v>
      </c>
      <c r="C1725" s="8" t="s">
        <v>8</v>
      </c>
      <c r="D1725" s="9">
        <v>0</v>
      </c>
      <c r="E1725" s="8">
        <v>74</v>
      </c>
    </row>
    <row r="1726" s="3" customFormat="1" ht="18.75" spans="1:5">
      <c r="A1726" s="8" t="str">
        <f t="shared" si="30"/>
        <v>250009</v>
      </c>
      <c r="B1726" s="8" t="str">
        <f>"2561402010418"</f>
        <v>2561402010418</v>
      </c>
      <c r="C1726" s="8" t="s">
        <v>8</v>
      </c>
      <c r="D1726" s="9">
        <v>0</v>
      </c>
      <c r="E1726" s="8">
        <v>74</v>
      </c>
    </row>
    <row r="1727" s="3" customFormat="1" ht="18.75" spans="1:5">
      <c r="A1727" s="8" t="str">
        <f t="shared" si="30"/>
        <v>250009</v>
      </c>
      <c r="B1727" s="8" t="str">
        <f>"2561402010419"</f>
        <v>2561402010419</v>
      </c>
      <c r="C1727" s="8" t="s">
        <v>8</v>
      </c>
      <c r="D1727" s="9">
        <v>0</v>
      </c>
      <c r="E1727" s="8">
        <v>74</v>
      </c>
    </row>
    <row r="1728" s="3" customFormat="1" ht="18.75" spans="1:5">
      <c r="A1728" s="8" t="str">
        <f t="shared" si="30"/>
        <v>250009</v>
      </c>
      <c r="B1728" s="8" t="str">
        <f>"2561402010420"</f>
        <v>2561402010420</v>
      </c>
      <c r="C1728" s="8" t="s">
        <v>8</v>
      </c>
      <c r="D1728" s="9">
        <v>0</v>
      </c>
      <c r="E1728" s="8">
        <v>74</v>
      </c>
    </row>
    <row r="1729" s="3" customFormat="1" ht="18.75" spans="1:5">
      <c r="A1729" s="8" t="str">
        <f t="shared" ref="A1729:A1792" si="31">"250010"</f>
        <v>250010</v>
      </c>
      <c r="B1729" s="8" t="str">
        <f>"2561402010617"</f>
        <v>2561402010617</v>
      </c>
      <c r="C1729" s="8" t="s">
        <v>8</v>
      </c>
      <c r="D1729" s="9">
        <v>65</v>
      </c>
      <c r="E1729" s="8">
        <v>1</v>
      </c>
    </row>
    <row r="1730" s="3" customFormat="1" ht="18.75" spans="1:5">
      <c r="A1730" s="8" t="str">
        <f t="shared" si="31"/>
        <v>250010</v>
      </c>
      <c r="B1730" s="8" t="str">
        <f>"2561402010712"</f>
        <v>2561402010712</v>
      </c>
      <c r="C1730" s="8" t="s">
        <v>8</v>
      </c>
      <c r="D1730" s="9">
        <v>64.75</v>
      </c>
      <c r="E1730" s="8">
        <v>2</v>
      </c>
    </row>
    <row r="1731" s="3" customFormat="1" ht="18.75" spans="1:5">
      <c r="A1731" s="8" t="str">
        <f t="shared" si="31"/>
        <v>250010</v>
      </c>
      <c r="B1731" s="8" t="str">
        <f>"2561402010507"</f>
        <v>2561402010507</v>
      </c>
      <c r="C1731" s="8" t="s">
        <v>8</v>
      </c>
      <c r="D1731" s="9">
        <v>63.01</v>
      </c>
      <c r="E1731" s="8">
        <v>3</v>
      </c>
    </row>
    <row r="1732" s="3" customFormat="1" ht="18.75" spans="1:5">
      <c r="A1732" s="8" t="str">
        <f t="shared" si="31"/>
        <v>250010</v>
      </c>
      <c r="B1732" s="8" t="str">
        <f>"2561402010529"</f>
        <v>2561402010529</v>
      </c>
      <c r="C1732" s="8" t="s">
        <v>8</v>
      </c>
      <c r="D1732" s="9">
        <v>62.98</v>
      </c>
      <c r="E1732" s="8">
        <v>4</v>
      </c>
    </row>
    <row r="1733" s="3" customFormat="1" ht="18.75" spans="1:5">
      <c r="A1733" s="8" t="str">
        <f t="shared" si="31"/>
        <v>250010</v>
      </c>
      <c r="B1733" s="8" t="str">
        <f>"2561402010701"</f>
        <v>2561402010701</v>
      </c>
      <c r="C1733" s="8" t="s">
        <v>8</v>
      </c>
      <c r="D1733" s="9">
        <v>62.61</v>
      </c>
      <c r="E1733" s="8">
        <v>5</v>
      </c>
    </row>
    <row r="1734" s="3" customFormat="1" ht="18.75" spans="1:5">
      <c r="A1734" s="8" t="str">
        <f t="shared" si="31"/>
        <v>250010</v>
      </c>
      <c r="B1734" s="8" t="str">
        <f>"2561402010710"</f>
        <v>2561402010710</v>
      </c>
      <c r="C1734" s="8" t="s">
        <v>8</v>
      </c>
      <c r="D1734" s="9">
        <v>62.34</v>
      </c>
      <c r="E1734" s="8">
        <v>6</v>
      </c>
    </row>
    <row r="1735" s="3" customFormat="1" ht="18.75" spans="1:5">
      <c r="A1735" s="8" t="str">
        <f t="shared" si="31"/>
        <v>250010</v>
      </c>
      <c r="B1735" s="8" t="str">
        <f>"2561402010502"</f>
        <v>2561402010502</v>
      </c>
      <c r="C1735" s="8" t="s">
        <v>8</v>
      </c>
      <c r="D1735" s="9">
        <v>61.24</v>
      </c>
      <c r="E1735" s="8">
        <v>7</v>
      </c>
    </row>
    <row r="1736" s="3" customFormat="1" ht="18.75" spans="1:5">
      <c r="A1736" s="8" t="str">
        <f t="shared" si="31"/>
        <v>250010</v>
      </c>
      <c r="B1736" s="8" t="str">
        <f>"2561402010608"</f>
        <v>2561402010608</v>
      </c>
      <c r="C1736" s="8" t="s">
        <v>8</v>
      </c>
      <c r="D1736" s="9">
        <v>60.74</v>
      </c>
      <c r="E1736" s="8">
        <v>8</v>
      </c>
    </row>
    <row r="1737" s="3" customFormat="1" ht="18.75" spans="1:5">
      <c r="A1737" s="8" t="str">
        <f t="shared" si="31"/>
        <v>250010</v>
      </c>
      <c r="B1737" s="8" t="str">
        <f>"2561402010429"</f>
        <v>2561402010429</v>
      </c>
      <c r="C1737" s="8" t="s">
        <v>8</v>
      </c>
      <c r="D1737" s="9">
        <v>60.13</v>
      </c>
      <c r="E1737" s="8">
        <v>9</v>
      </c>
    </row>
    <row r="1738" s="3" customFormat="1" ht="18.75" spans="1:5">
      <c r="A1738" s="8" t="str">
        <f t="shared" si="31"/>
        <v>250010</v>
      </c>
      <c r="B1738" s="8" t="str">
        <f>"2561402010623"</f>
        <v>2561402010623</v>
      </c>
      <c r="C1738" s="8" t="s">
        <v>8</v>
      </c>
      <c r="D1738" s="9">
        <v>59.86</v>
      </c>
      <c r="E1738" s="8">
        <v>10</v>
      </c>
    </row>
    <row r="1739" s="3" customFormat="1" ht="18.75" spans="1:5">
      <c r="A1739" s="8" t="str">
        <f t="shared" si="31"/>
        <v>250010</v>
      </c>
      <c r="B1739" s="8" t="str">
        <f>"2561402010523"</f>
        <v>2561402010523</v>
      </c>
      <c r="C1739" s="8" t="s">
        <v>8</v>
      </c>
      <c r="D1739" s="9">
        <v>59.43</v>
      </c>
      <c r="E1739" s="8">
        <v>11</v>
      </c>
    </row>
    <row r="1740" s="3" customFormat="1" ht="18.75" spans="1:5">
      <c r="A1740" s="8" t="str">
        <f t="shared" si="31"/>
        <v>250010</v>
      </c>
      <c r="B1740" s="8" t="str">
        <f>"2561402010721"</f>
        <v>2561402010721</v>
      </c>
      <c r="C1740" s="8" t="s">
        <v>8</v>
      </c>
      <c r="D1740" s="9">
        <v>59.04</v>
      </c>
      <c r="E1740" s="8">
        <v>12</v>
      </c>
    </row>
    <row r="1741" s="3" customFormat="1" ht="18.75" spans="1:5">
      <c r="A1741" s="8" t="str">
        <f t="shared" si="31"/>
        <v>250010</v>
      </c>
      <c r="B1741" s="8" t="str">
        <f>"2561402010605"</f>
        <v>2561402010605</v>
      </c>
      <c r="C1741" s="8" t="s">
        <v>8</v>
      </c>
      <c r="D1741" s="9">
        <v>58.76</v>
      </c>
      <c r="E1741" s="8">
        <v>13</v>
      </c>
    </row>
    <row r="1742" s="3" customFormat="1" ht="18.75" spans="1:5">
      <c r="A1742" s="8" t="str">
        <f t="shared" si="31"/>
        <v>250010</v>
      </c>
      <c r="B1742" s="8" t="str">
        <f>"2561402010427"</f>
        <v>2561402010427</v>
      </c>
      <c r="C1742" s="8" t="s">
        <v>8</v>
      </c>
      <c r="D1742" s="9">
        <v>58.57</v>
      </c>
      <c r="E1742" s="8">
        <v>14</v>
      </c>
    </row>
    <row r="1743" s="3" customFormat="1" ht="18.75" spans="1:5">
      <c r="A1743" s="8" t="str">
        <f t="shared" si="31"/>
        <v>250010</v>
      </c>
      <c r="B1743" s="8" t="str">
        <f>"2561402010528"</f>
        <v>2561402010528</v>
      </c>
      <c r="C1743" s="8" t="s">
        <v>8</v>
      </c>
      <c r="D1743" s="9">
        <v>58.21</v>
      </c>
      <c r="E1743" s="8">
        <v>15</v>
      </c>
    </row>
    <row r="1744" s="3" customFormat="1" ht="18.75" spans="1:5">
      <c r="A1744" s="8" t="str">
        <f t="shared" si="31"/>
        <v>250010</v>
      </c>
      <c r="B1744" s="8" t="str">
        <f>"2561402010522"</f>
        <v>2561402010522</v>
      </c>
      <c r="C1744" s="8" t="s">
        <v>8</v>
      </c>
      <c r="D1744" s="9">
        <v>57.98</v>
      </c>
      <c r="E1744" s="8">
        <v>16</v>
      </c>
    </row>
    <row r="1745" s="3" customFormat="1" ht="18.75" spans="1:5">
      <c r="A1745" s="8" t="str">
        <f t="shared" si="31"/>
        <v>250010</v>
      </c>
      <c r="B1745" s="8" t="str">
        <f>"2561402010602"</f>
        <v>2561402010602</v>
      </c>
      <c r="C1745" s="8" t="s">
        <v>8</v>
      </c>
      <c r="D1745" s="9">
        <v>57.66</v>
      </c>
      <c r="E1745" s="8">
        <v>17</v>
      </c>
    </row>
    <row r="1746" s="3" customFormat="1" ht="18.75" spans="1:5">
      <c r="A1746" s="8" t="str">
        <f t="shared" si="31"/>
        <v>250010</v>
      </c>
      <c r="B1746" s="8" t="str">
        <f>"2561402010513"</f>
        <v>2561402010513</v>
      </c>
      <c r="C1746" s="8" t="s">
        <v>8</v>
      </c>
      <c r="D1746" s="9">
        <v>57.22</v>
      </c>
      <c r="E1746" s="8">
        <v>18</v>
      </c>
    </row>
    <row r="1747" s="3" customFormat="1" ht="18.75" spans="1:5">
      <c r="A1747" s="8" t="str">
        <f t="shared" si="31"/>
        <v>250010</v>
      </c>
      <c r="B1747" s="8" t="str">
        <f>"2561402010503"</f>
        <v>2561402010503</v>
      </c>
      <c r="C1747" s="8" t="s">
        <v>8</v>
      </c>
      <c r="D1747" s="9">
        <v>57.2</v>
      </c>
      <c r="E1747" s="8">
        <v>19</v>
      </c>
    </row>
    <row r="1748" s="3" customFormat="1" ht="18.75" spans="1:5">
      <c r="A1748" s="8" t="str">
        <f t="shared" si="31"/>
        <v>250010</v>
      </c>
      <c r="B1748" s="8" t="str">
        <f>"2561402010620"</f>
        <v>2561402010620</v>
      </c>
      <c r="C1748" s="8" t="s">
        <v>8</v>
      </c>
      <c r="D1748" s="9">
        <v>57.07</v>
      </c>
      <c r="E1748" s="8">
        <v>20</v>
      </c>
    </row>
    <row r="1749" s="3" customFormat="1" ht="18.75" spans="1:5">
      <c r="A1749" s="8" t="str">
        <f t="shared" si="31"/>
        <v>250010</v>
      </c>
      <c r="B1749" s="8" t="str">
        <f>"2561402010728"</f>
        <v>2561402010728</v>
      </c>
      <c r="C1749" s="8" t="s">
        <v>8</v>
      </c>
      <c r="D1749" s="9">
        <v>56.95</v>
      </c>
      <c r="E1749" s="8">
        <v>21</v>
      </c>
    </row>
    <row r="1750" s="3" customFormat="1" ht="18.75" spans="1:5">
      <c r="A1750" s="8" t="str">
        <f t="shared" si="31"/>
        <v>250010</v>
      </c>
      <c r="B1750" s="8" t="str">
        <f>"2561402010622"</f>
        <v>2561402010622</v>
      </c>
      <c r="C1750" s="8" t="s">
        <v>8</v>
      </c>
      <c r="D1750" s="9">
        <v>56.02</v>
      </c>
      <c r="E1750" s="8">
        <v>22</v>
      </c>
    </row>
    <row r="1751" s="3" customFormat="1" ht="18.75" spans="1:5">
      <c r="A1751" s="8" t="str">
        <f t="shared" si="31"/>
        <v>250010</v>
      </c>
      <c r="B1751" s="8" t="str">
        <f>"2561402010518"</f>
        <v>2561402010518</v>
      </c>
      <c r="C1751" s="8" t="s">
        <v>8</v>
      </c>
      <c r="D1751" s="9">
        <v>55.8</v>
      </c>
      <c r="E1751" s="8">
        <v>23</v>
      </c>
    </row>
    <row r="1752" s="3" customFormat="1" ht="18.75" spans="1:5">
      <c r="A1752" s="8" t="str">
        <f t="shared" si="31"/>
        <v>250010</v>
      </c>
      <c r="B1752" s="8" t="str">
        <f>"2561402010517"</f>
        <v>2561402010517</v>
      </c>
      <c r="C1752" s="8" t="s">
        <v>8</v>
      </c>
      <c r="D1752" s="9">
        <v>55.24</v>
      </c>
      <c r="E1752" s="8">
        <v>24</v>
      </c>
    </row>
    <row r="1753" s="3" customFormat="1" ht="18.75" spans="1:5">
      <c r="A1753" s="8" t="str">
        <f t="shared" si="31"/>
        <v>250010</v>
      </c>
      <c r="B1753" s="8" t="str">
        <f>"2561402010603"</f>
        <v>2561402010603</v>
      </c>
      <c r="C1753" s="8" t="s">
        <v>8</v>
      </c>
      <c r="D1753" s="9">
        <v>55.19</v>
      </c>
      <c r="E1753" s="8">
        <v>25</v>
      </c>
    </row>
    <row r="1754" s="3" customFormat="1" ht="18.75" spans="1:5">
      <c r="A1754" s="8" t="str">
        <f t="shared" si="31"/>
        <v>250010</v>
      </c>
      <c r="B1754" s="8" t="str">
        <f>"2561402010526"</f>
        <v>2561402010526</v>
      </c>
      <c r="C1754" s="8" t="s">
        <v>8</v>
      </c>
      <c r="D1754" s="9">
        <v>54.52</v>
      </c>
      <c r="E1754" s="8">
        <v>26</v>
      </c>
    </row>
    <row r="1755" s="3" customFormat="1" ht="18.75" spans="1:5">
      <c r="A1755" s="8" t="str">
        <f t="shared" si="31"/>
        <v>250010</v>
      </c>
      <c r="B1755" s="8" t="str">
        <f>"2561402010610"</f>
        <v>2561402010610</v>
      </c>
      <c r="C1755" s="8" t="s">
        <v>8</v>
      </c>
      <c r="D1755" s="9">
        <v>54.06</v>
      </c>
      <c r="E1755" s="8">
        <v>27</v>
      </c>
    </row>
    <row r="1756" s="3" customFormat="1" ht="18.75" spans="1:5">
      <c r="A1756" s="8" t="str">
        <f t="shared" si="31"/>
        <v>250010</v>
      </c>
      <c r="B1756" s="8" t="str">
        <f>"2561402010706"</f>
        <v>2561402010706</v>
      </c>
      <c r="C1756" s="8" t="s">
        <v>8</v>
      </c>
      <c r="D1756" s="9">
        <v>53.94</v>
      </c>
      <c r="E1756" s="8">
        <v>28</v>
      </c>
    </row>
    <row r="1757" s="3" customFormat="1" ht="18.75" spans="1:5">
      <c r="A1757" s="8" t="str">
        <f t="shared" si="31"/>
        <v>250010</v>
      </c>
      <c r="B1757" s="8" t="str">
        <f>"2561402010614"</f>
        <v>2561402010614</v>
      </c>
      <c r="C1757" s="8" t="s">
        <v>8</v>
      </c>
      <c r="D1757" s="9">
        <v>53.65</v>
      </c>
      <c r="E1757" s="8">
        <v>29</v>
      </c>
    </row>
    <row r="1758" s="3" customFormat="1" ht="18.75" spans="1:5">
      <c r="A1758" s="8" t="str">
        <f t="shared" si="31"/>
        <v>250010</v>
      </c>
      <c r="B1758" s="8" t="str">
        <f>"2561402010724"</f>
        <v>2561402010724</v>
      </c>
      <c r="C1758" s="8" t="s">
        <v>8</v>
      </c>
      <c r="D1758" s="9">
        <v>53.41</v>
      </c>
      <c r="E1758" s="8">
        <v>30</v>
      </c>
    </row>
    <row r="1759" s="3" customFormat="1" ht="18.75" spans="1:5">
      <c r="A1759" s="8" t="str">
        <f t="shared" si="31"/>
        <v>250010</v>
      </c>
      <c r="B1759" s="8" t="str">
        <f>"2561402010606"</f>
        <v>2561402010606</v>
      </c>
      <c r="C1759" s="8" t="s">
        <v>8</v>
      </c>
      <c r="D1759" s="9">
        <v>53.36</v>
      </c>
      <c r="E1759" s="8">
        <v>31</v>
      </c>
    </row>
    <row r="1760" s="3" customFormat="1" ht="18.75" spans="1:5">
      <c r="A1760" s="8" t="str">
        <f t="shared" si="31"/>
        <v>250010</v>
      </c>
      <c r="B1760" s="8" t="str">
        <f>"2561402010505"</f>
        <v>2561402010505</v>
      </c>
      <c r="C1760" s="8" t="s">
        <v>8</v>
      </c>
      <c r="D1760" s="9">
        <v>53.18</v>
      </c>
      <c r="E1760" s="8">
        <v>32</v>
      </c>
    </row>
    <row r="1761" s="3" customFormat="1" ht="18.75" spans="1:5">
      <c r="A1761" s="8" t="str">
        <f t="shared" si="31"/>
        <v>250010</v>
      </c>
      <c r="B1761" s="8" t="str">
        <f>"2561402010613"</f>
        <v>2561402010613</v>
      </c>
      <c r="C1761" s="8" t="s">
        <v>8</v>
      </c>
      <c r="D1761" s="9">
        <v>52.91</v>
      </c>
      <c r="E1761" s="8">
        <v>33</v>
      </c>
    </row>
    <row r="1762" s="3" customFormat="1" ht="18.75" spans="1:5">
      <c r="A1762" s="8" t="str">
        <f t="shared" si="31"/>
        <v>250010</v>
      </c>
      <c r="B1762" s="8" t="str">
        <f>"2561402010720"</f>
        <v>2561402010720</v>
      </c>
      <c r="C1762" s="8" t="s">
        <v>8</v>
      </c>
      <c r="D1762" s="9">
        <v>52.59</v>
      </c>
      <c r="E1762" s="8">
        <v>34</v>
      </c>
    </row>
    <row r="1763" s="3" customFormat="1" ht="18.75" spans="1:5">
      <c r="A1763" s="8" t="str">
        <f t="shared" si="31"/>
        <v>250010</v>
      </c>
      <c r="B1763" s="8" t="str">
        <f>"2561402010511"</f>
        <v>2561402010511</v>
      </c>
      <c r="C1763" s="8" t="s">
        <v>8</v>
      </c>
      <c r="D1763" s="9">
        <v>52.24</v>
      </c>
      <c r="E1763" s="8">
        <v>35</v>
      </c>
    </row>
    <row r="1764" s="3" customFormat="1" ht="18.75" spans="1:5">
      <c r="A1764" s="8" t="str">
        <f t="shared" si="31"/>
        <v>250010</v>
      </c>
      <c r="B1764" s="8" t="str">
        <f>"2561402010702"</f>
        <v>2561402010702</v>
      </c>
      <c r="C1764" s="8" t="s">
        <v>8</v>
      </c>
      <c r="D1764" s="9">
        <v>52.18</v>
      </c>
      <c r="E1764" s="8">
        <v>36</v>
      </c>
    </row>
    <row r="1765" s="3" customFormat="1" ht="18.75" spans="1:5">
      <c r="A1765" s="8" t="str">
        <f t="shared" si="31"/>
        <v>250010</v>
      </c>
      <c r="B1765" s="8" t="str">
        <f>"2561402010618"</f>
        <v>2561402010618</v>
      </c>
      <c r="C1765" s="8" t="s">
        <v>8</v>
      </c>
      <c r="D1765" s="9">
        <v>52.13</v>
      </c>
      <c r="E1765" s="8">
        <v>37</v>
      </c>
    </row>
    <row r="1766" s="3" customFormat="1" ht="18.75" spans="1:5">
      <c r="A1766" s="8" t="str">
        <f t="shared" si="31"/>
        <v>250010</v>
      </c>
      <c r="B1766" s="8" t="str">
        <f>"2561402010619"</f>
        <v>2561402010619</v>
      </c>
      <c r="C1766" s="8" t="s">
        <v>8</v>
      </c>
      <c r="D1766" s="9">
        <v>51.99</v>
      </c>
      <c r="E1766" s="8">
        <v>38</v>
      </c>
    </row>
    <row r="1767" s="3" customFormat="1" ht="18.75" spans="1:5">
      <c r="A1767" s="8" t="str">
        <f t="shared" si="31"/>
        <v>250010</v>
      </c>
      <c r="B1767" s="8" t="str">
        <f>"2561402010509"</f>
        <v>2561402010509</v>
      </c>
      <c r="C1767" s="8" t="s">
        <v>8</v>
      </c>
      <c r="D1767" s="9">
        <v>51.43</v>
      </c>
      <c r="E1767" s="8">
        <v>39</v>
      </c>
    </row>
    <row r="1768" s="3" customFormat="1" ht="18.75" spans="1:5">
      <c r="A1768" s="8" t="str">
        <f t="shared" si="31"/>
        <v>250010</v>
      </c>
      <c r="B1768" s="8" t="str">
        <f>"2561402010524"</f>
        <v>2561402010524</v>
      </c>
      <c r="C1768" s="8" t="s">
        <v>8</v>
      </c>
      <c r="D1768" s="9">
        <v>51.14</v>
      </c>
      <c r="E1768" s="8">
        <v>40</v>
      </c>
    </row>
    <row r="1769" s="3" customFormat="1" ht="18.75" spans="1:5">
      <c r="A1769" s="8" t="str">
        <f t="shared" si="31"/>
        <v>250010</v>
      </c>
      <c r="B1769" s="8" t="str">
        <f>"2561402010709"</f>
        <v>2561402010709</v>
      </c>
      <c r="C1769" s="8" t="s">
        <v>8</v>
      </c>
      <c r="D1769" s="9">
        <v>50.89</v>
      </c>
      <c r="E1769" s="8">
        <v>41</v>
      </c>
    </row>
    <row r="1770" s="3" customFormat="1" ht="18.75" spans="1:5">
      <c r="A1770" s="8" t="str">
        <f t="shared" si="31"/>
        <v>250010</v>
      </c>
      <c r="B1770" s="8" t="str">
        <f>"2561402010616"</f>
        <v>2561402010616</v>
      </c>
      <c r="C1770" s="8" t="s">
        <v>8</v>
      </c>
      <c r="D1770" s="9">
        <v>50.76</v>
      </c>
      <c r="E1770" s="8">
        <v>42</v>
      </c>
    </row>
    <row r="1771" s="3" customFormat="1" ht="18.75" spans="1:5">
      <c r="A1771" s="8" t="str">
        <f t="shared" si="31"/>
        <v>250010</v>
      </c>
      <c r="B1771" s="8" t="str">
        <f>"2561402010512"</f>
        <v>2561402010512</v>
      </c>
      <c r="C1771" s="8" t="s">
        <v>8</v>
      </c>
      <c r="D1771" s="9">
        <v>50.72</v>
      </c>
      <c r="E1771" s="8">
        <v>43</v>
      </c>
    </row>
    <row r="1772" s="3" customFormat="1" ht="18.75" spans="1:5">
      <c r="A1772" s="8" t="str">
        <f t="shared" si="31"/>
        <v>250010</v>
      </c>
      <c r="B1772" s="8" t="str">
        <f>"2561402010711"</f>
        <v>2561402010711</v>
      </c>
      <c r="C1772" s="8" t="s">
        <v>8</v>
      </c>
      <c r="D1772" s="9">
        <v>49.67</v>
      </c>
      <c r="E1772" s="8">
        <v>44</v>
      </c>
    </row>
    <row r="1773" s="3" customFormat="1" ht="18.75" spans="1:5">
      <c r="A1773" s="8" t="str">
        <f t="shared" si="31"/>
        <v>250010</v>
      </c>
      <c r="B1773" s="8" t="str">
        <f>"2561402010715"</f>
        <v>2561402010715</v>
      </c>
      <c r="C1773" s="8" t="s">
        <v>8</v>
      </c>
      <c r="D1773" s="9">
        <v>49.62</v>
      </c>
      <c r="E1773" s="8">
        <v>45</v>
      </c>
    </row>
    <row r="1774" s="3" customFormat="1" ht="18.75" spans="1:5">
      <c r="A1774" s="8" t="str">
        <f t="shared" si="31"/>
        <v>250010</v>
      </c>
      <c r="B1774" s="8" t="str">
        <f>"2561402010719"</f>
        <v>2561402010719</v>
      </c>
      <c r="C1774" s="8" t="s">
        <v>8</v>
      </c>
      <c r="D1774" s="9">
        <v>49.57</v>
      </c>
      <c r="E1774" s="8">
        <v>46</v>
      </c>
    </row>
    <row r="1775" s="3" customFormat="1" ht="18.75" spans="1:5">
      <c r="A1775" s="8" t="str">
        <f t="shared" si="31"/>
        <v>250010</v>
      </c>
      <c r="B1775" s="8" t="str">
        <f>"2561402010515"</f>
        <v>2561402010515</v>
      </c>
      <c r="C1775" s="8" t="s">
        <v>8</v>
      </c>
      <c r="D1775" s="9">
        <v>49.42</v>
      </c>
      <c r="E1775" s="8">
        <v>47</v>
      </c>
    </row>
    <row r="1776" s="3" customFormat="1" ht="18.75" spans="1:5">
      <c r="A1776" s="8" t="str">
        <f t="shared" si="31"/>
        <v>250010</v>
      </c>
      <c r="B1776" s="8" t="str">
        <f>"2561402010714"</f>
        <v>2561402010714</v>
      </c>
      <c r="C1776" s="8" t="s">
        <v>8</v>
      </c>
      <c r="D1776" s="9">
        <v>49.27</v>
      </c>
      <c r="E1776" s="8">
        <v>48</v>
      </c>
    </row>
    <row r="1777" s="3" customFormat="1" ht="18.75" spans="1:5">
      <c r="A1777" s="8" t="str">
        <f t="shared" si="31"/>
        <v>250010</v>
      </c>
      <c r="B1777" s="8" t="str">
        <f>"2561402010629"</f>
        <v>2561402010629</v>
      </c>
      <c r="C1777" s="8" t="s">
        <v>8</v>
      </c>
      <c r="D1777" s="9">
        <v>49.07</v>
      </c>
      <c r="E1777" s="8">
        <v>49</v>
      </c>
    </row>
    <row r="1778" s="3" customFormat="1" ht="18.75" spans="1:5">
      <c r="A1778" s="8" t="str">
        <f t="shared" si="31"/>
        <v>250010</v>
      </c>
      <c r="B1778" s="8" t="str">
        <f>"2561402010527"</f>
        <v>2561402010527</v>
      </c>
      <c r="C1778" s="8" t="s">
        <v>8</v>
      </c>
      <c r="D1778" s="9">
        <v>47.02</v>
      </c>
      <c r="E1778" s="8">
        <v>50</v>
      </c>
    </row>
    <row r="1779" s="3" customFormat="1" ht="18.75" spans="1:5">
      <c r="A1779" s="8" t="str">
        <f t="shared" si="31"/>
        <v>250010</v>
      </c>
      <c r="B1779" s="8" t="str">
        <f>"2561402010525"</f>
        <v>2561402010525</v>
      </c>
      <c r="C1779" s="8" t="s">
        <v>8</v>
      </c>
      <c r="D1779" s="9">
        <v>46.85</v>
      </c>
      <c r="E1779" s="8">
        <v>51</v>
      </c>
    </row>
    <row r="1780" s="3" customFormat="1" ht="18.75" spans="1:5">
      <c r="A1780" s="8" t="str">
        <f t="shared" si="31"/>
        <v>250010</v>
      </c>
      <c r="B1780" s="8" t="str">
        <f>"2561402010723"</f>
        <v>2561402010723</v>
      </c>
      <c r="C1780" s="8" t="s">
        <v>8</v>
      </c>
      <c r="D1780" s="9">
        <v>46.71</v>
      </c>
      <c r="E1780" s="8">
        <v>52</v>
      </c>
    </row>
    <row r="1781" s="3" customFormat="1" ht="18.75" spans="1:5">
      <c r="A1781" s="8" t="str">
        <f t="shared" si="31"/>
        <v>250010</v>
      </c>
      <c r="B1781" s="8" t="str">
        <f>"2561402010716"</f>
        <v>2561402010716</v>
      </c>
      <c r="C1781" s="8" t="s">
        <v>8</v>
      </c>
      <c r="D1781" s="9">
        <v>45.5</v>
      </c>
      <c r="E1781" s="8">
        <v>53</v>
      </c>
    </row>
    <row r="1782" s="3" customFormat="1" ht="18.75" spans="1:5">
      <c r="A1782" s="8" t="str">
        <f t="shared" si="31"/>
        <v>250010</v>
      </c>
      <c r="B1782" s="8" t="str">
        <f>"2561402010624"</f>
        <v>2561402010624</v>
      </c>
      <c r="C1782" s="8" t="s">
        <v>8</v>
      </c>
      <c r="D1782" s="9">
        <v>45.25</v>
      </c>
      <c r="E1782" s="8">
        <v>54</v>
      </c>
    </row>
    <row r="1783" s="3" customFormat="1" ht="18.75" spans="1:5">
      <c r="A1783" s="8" t="str">
        <f t="shared" si="31"/>
        <v>250010</v>
      </c>
      <c r="B1783" s="8" t="str">
        <f>"2561402010504"</f>
        <v>2561402010504</v>
      </c>
      <c r="C1783" s="8" t="s">
        <v>8</v>
      </c>
      <c r="D1783" s="9">
        <v>43.95</v>
      </c>
      <c r="E1783" s="8">
        <v>55</v>
      </c>
    </row>
    <row r="1784" s="3" customFormat="1" ht="18.75" spans="1:5">
      <c r="A1784" s="8" t="str">
        <f t="shared" si="31"/>
        <v>250010</v>
      </c>
      <c r="B1784" s="8" t="str">
        <f>"2561402010717"</f>
        <v>2561402010717</v>
      </c>
      <c r="C1784" s="8" t="s">
        <v>8</v>
      </c>
      <c r="D1784" s="9">
        <v>42.27</v>
      </c>
      <c r="E1784" s="8">
        <v>56</v>
      </c>
    </row>
    <row r="1785" s="3" customFormat="1" ht="18.75" spans="1:5">
      <c r="A1785" s="8" t="str">
        <f t="shared" si="31"/>
        <v>250010</v>
      </c>
      <c r="B1785" s="8" t="str">
        <f>"2561402010726"</f>
        <v>2561402010726</v>
      </c>
      <c r="C1785" s="8" t="s">
        <v>8</v>
      </c>
      <c r="D1785" s="9">
        <v>39.22</v>
      </c>
      <c r="E1785" s="8">
        <v>57</v>
      </c>
    </row>
    <row r="1786" s="3" customFormat="1" ht="18.75" spans="1:5">
      <c r="A1786" s="8" t="str">
        <f t="shared" si="31"/>
        <v>250010</v>
      </c>
      <c r="B1786" s="8" t="str">
        <f>"2561402010628"</f>
        <v>2561402010628</v>
      </c>
      <c r="C1786" s="8" t="s">
        <v>8</v>
      </c>
      <c r="D1786" s="9">
        <v>35.92</v>
      </c>
      <c r="E1786" s="8">
        <v>58</v>
      </c>
    </row>
    <row r="1787" s="3" customFormat="1" ht="18.75" spans="1:5">
      <c r="A1787" s="8" t="str">
        <f t="shared" si="31"/>
        <v>250010</v>
      </c>
      <c r="B1787" s="8" t="str">
        <f>"2561402010621"</f>
        <v>2561402010621</v>
      </c>
      <c r="C1787" s="8" t="s">
        <v>8</v>
      </c>
      <c r="D1787" s="9">
        <v>35.9</v>
      </c>
      <c r="E1787" s="8">
        <v>59</v>
      </c>
    </row>
    <row r="1788" s="3" customFormat="1" ht="18.75" spans="1:5">
      <c r="A1788" s="8" t="str">
        <f t="shared" si="31"/>
        <v>250010</v>
      </c>
      <c r="B1788" s="8" t="str">
        <f>"2561402010722"</f>
        <v>2561402010722</v>
      </c>
      <c r="C1788" s="8" t="s">
        <v>8</v>
      </c>
      <c r="D1788" s="9">
        <v>33.87</v>
      </c>
      <c r="E1788" s="8">
        <v>60</v>
      </c>
    </row>
    <row r="1789" s="3" customFormat="1" ht="18.75" spans="1:5">
      <c r="A1789" s="8" t="str">
        <f t="shared" si="31"/>
        <v>250010</v>
      </c>
      <c r="B1789" s="8" t="str">
        <f>"2561402010514"</f>
        <v>2561402010514</v>
      </c>
      <c r="C1789" s="8" t="s">
        <v>8</v>
      </c>
      <c r="D1789" s="9">
        <v>25.9</v>
      </c>
      <c r="E1789" s="8">
        <v>61</v>
      </c>
    </row>
    <row r="1790" s="3" customFormat="1" ht="18.75" spans="1:5">
      <c r="A1790" s="8" t="str">
        <f t="shared" si="31"/>
        <v>250010</v>
      </c>
      <c r="B1790" s="8" t="str">
        <f>"2561402010423"</f>
        <v>2561402010423</v>
      </c>
      <c r="C1790" s="8" t="s">
        <v>8</v>
      </c>
      <c r="D1790" s="9">
        <v>24.78</v>
      </c>
      <c r="E1790" s="8">
        <v>62</v>
      </c>
    </row>
    <row r="1791" s="3" customFormat="1" ht="18.75" spans="1:5">
      <c r="A1791" s="8" t="str">
        <f t="shared" si="31"/>
        <v>250010</v>
      </c>
      <c r="B1791" s="8" t="str">
        <f>"2561402010425"</f>
        <v>2561402010425</v>
      </c>
      <c r="C1791" s="8" t="s">
        <v>8</v>
      </c>
      <c r="D1791" s="9">
        <v>24.18</v>
      </c>
      <c r="E1791" s="8">
        <v>63</v>
      </c>
    </row>
    <row r="1792" s="3" customFormat="1" ht="18.75" spans="1:5">
      <c r="A1792" s="8" t="str">
        <f t="shared" si="31"/>
        <v>250010</v>
      </c>
      <c r="B1792" s="8" t="str">
        <f>"2561402010615"</f>
        <v>2561402010615</v>
      </c>
      <c r="C1792" s="8" t="s">
        <v>8</v>
      </c>
      <c r="D1792" s="9">
        <v>22.8</v>
      </c>
      <c r="E1792" s="8">
        <v>64</v>
      </c>
    </row>
    <row r="1793" s="3" customFormat="1" ht="18.75" spans="1:5">
      <c r="A1793" s="8" t="str">
        <f t="shared" ref="A1793:A1824" si="32">"250010"</f>
        <v>250010</v>
      </c>
      <c r="B1793" s="8" t="str">
        <f>"2561402010521"</f>
        <v>2561402010521</v>
      </c>
      <c r="C1793" s="8" t="s">
        <v>8</v>
      </c>
      <c r="D1793" s="9">
        <v>22.76</v>
      </c>
      <c r="E1793" s="8">
        <v>65</v>
      </c>
    </row>
    <row r="1794" s="3" customFormat="1" ht="18.75" spans="1:5">
      <c r="A1794" s="8" t="str">
        <f t="shared" si="32"/>
        <v>250010</v>
      </c>
      <c r="B1794" s="8" t="str">
        <f>"2561402010516"</f>
        <v>2561402010516</v>
      </c>
      <c r="C1794" s="8" t="s">
        <v>8</v>
      </c>
      <c r="D1794" s="9">
        <v>21.02</v>
      </c>
      <c r="E1794" s="8">
        <v>66</v>
      </c>
    </row>
    <row r="1795" s="3" customFormat="1" ht="18.75" spans="1:5">
      <c r="A1795" s="8" t="str">
        <f t="shared" si="32"/>
        <v>250010</v>
      </c>
      <c r="B1795" s="8" t="str">
        <f>"2561402010630"</f>
        <v>2561402010630</v>
      </c>
      <c r="C1795" s="8" t="s">
        <v>8</v>
      </c>
      <c r="D1795" s="9">
        <v>20.21</v>
      </c>
      <c r="E1795" s="8">
        <v>67</v>
      </c>
    </row>
    <row r="1796" s="3" customFormat="1" ht="18.75" spans="1:5">
      <c r="A1796" s="8" t="str">
        <f t="shared" si="32"/>
        <v>250010</v>
      </c>
      <c r="B1796" s="8" t="str">
        <f>"2561402010718"</f>
        <v>2561402010718</v>
      </c>
      <c r="C1796" s="8" t="s">
        <v>8</v>
      </c>
      <c r="D1796" s="9">
        <v>16.96</v>
      </c>
      <c r="E1796" s="8">
        <v>68</v>
      </c>
    </row>
    <row r="1797" s="3" customFormat="1" ht="18.75" spans="1:5">
      <c r="A1797" s="8" t="str">
        <f t="shared" si="32"/>
        <v>250010</v>
      </c>
      <c r="B1797" s="8" t="str">
        <f>"2561402010501"</f>
        <v>2561402010501</v>
      </c>
      <c r="C1797" s="8" t="s">
        <v>8</v>
      </c>
      <c r="D1797" s="9">
        <v>14.78</v>
      </c>
      <c r="E1797" s="8">
        <v>69</v>
      </c>
    </row>
    <row r="1798" s="3" customFormat="1" ht="18.75" spans="1:5">
      <c r="A1798" s="8" t="str">
        <f t="shared" si="32"/>
        <v>250010</v>
      </c>
      <c r="B1798" s="8" t="str">
        <f>"2561402010520"</f>
        <v>2561402010520</v>
      </c>
      <c r="C1798" s="8" t="s">
        <v>8</v>
      </c>
      <c r="D1798" s="9">
        <v>12.75</v>
      </c>
      <c r="E1798" s="8">
        <v>70</v>
      </c>
    </row>
    <row r="1799" s="3" customFormat="1" ht="18.75" spans="1:5">
      <c r="A1799" s="8" t="str">
        <f t="shared" si="32"/>
        <v>250010</v>
      </c>
      <c r="B1799" s="8" t="str">
        <f>"2561402010604"</f>
        <v>2561402010604</v>
      </c>
      <c r="C1799" s="8" t="s">
        <v>8</v>
      </c>
      <c r="D1799" s="9">
        <v>12.6</v>
      </c>
      <c r="E1799" s="8">
        <v>71</v>
      </c>
    </row>
    <row r="1800" s="3" customFormat="1" ht="18.75" spans="1:5">
      <c r="A1800" s="8" t="str">
        <f t="shared" si="32"/>
        <v>250010</v>
      </c>
      <c r="B1800" s="8" t="str">
        <f>"2561402010508"</f>
        <v>2561402010508</v>
      </c>
      <c r="C1800" s="8" t="s">
        <v>8</v>
      </c>
      <c r="D1800" s="9">
        <v>10.38</v>
      </c>
      <c r="E1800" s="8">
        <v>72</v>
      </c>
    </row>
    <row r="1801" s="3" customFormat="1" ht="18.75" spans="1:5">
      <c r="A1801" s="8" t="str">
        <f t="shared" si="32"/>
        <v>250010</v>
      </c>
      <c r="B1801" s="8" t="str">
        <f>"2561402010428"</f>
        <v>2561402010428</v>
      </c>
      <c r="C1801" s="8" t="s">
        <v>8</v>
      </c>
      <c r="D1801" s="9">
        <v>8.3</v>
      </c>
      <c r="E1801" s="8">
        <v>73</v>
      </c>
    </row>
    <row r="1802" s="3" customFormat="1" ht="18.75" spans="1:5">
      <c r="A1802" s="8" t="str">
        <f t="shared" si="32"/>
        <v>250010</v>
      </c>
      <c r="B1802" s="8" t="str">
        <f>"2561402010611"</f>
        <v>2561402010611</v>
      </c>
      <c r="C1802" s="8" t="s">
        <v>8</v>
      </c>
      <c r="D1802" s="9">
        <v>2.64</v>
      </c>
      <c r="E1802" s="8">
        <v>74</v>
      </c>
    </row>
    <row r="1803" s="3" customFormat="1" ht="18.75" spans="1:5">
      <c r="A1803" s="8" t="str">
        <f t="shared" si="32"/>
        <v>250010</v>
      </c>
      <c r="B1803" s="8" t="str">
        <f>"2561402010424"</f>
        <v>2561402010424</v>
      </c>
      <c r="C1803" s="8" t="s">
        <v>8</v>
      </c>
      <c r="D1803" s="9">
        <v>1.9</v>
      </c>
      <c r="E1803" s="8">
        <v>75</v>
      </c>
    </row>
    <row r="1804" s="3" customFormat="1" ht="18.75" spans="1:5">
      <c r="A1804" s="8" t="str">
        <f t="shared" si="32"/>
        <v>250010</v>
      </c>
      <c r="B1804" s="8" t="str">
        <f>"2561402010426"</f>
        <v>2561402010426</v>
      </c>
      <c r="C1804" s="8" t="s">
        <v>8</v>
      </c>
      <c r="D1804" s="9">
        <v>0</v>
      </c>
      <c r="E1804" s="8">
        <v>76</v>
      </c>
    </row>
    <row r="1805" s="3" customFormat="1" ht="18.75" spans="1:5">
      <c r="A1805" s="8" t="str">
        <f t="shared" si="32"/>
        <v>250010</v>
      </c>
      <c r="B1805" s="8" t="str">
        <f>"2561402010430"</f>
        <v>2561402010430</v>
      </c>
      <c r="C1805" s="8" t="s">
        <v>8</v>
      </c>
      <c r="D1805" s="9">
        <v>0</v>
      </c>
      <c r="E1805" s="8">
        <v>76</v>
      </c>
    </row>
    <row r="1806" s="3" customFormat="1" ht="18.75" spans="1:5">
      <c r="A1806" s="8" t="str">
        <f t="shared" si="32"/>
        <v>250010</v>
      </c>
      <c r="B1806" s="8" t="str">
        <f>"2561402010506"</f>
        <v>2561402010506</v>
      </c>
      <c r="C1806" s="8" t="s">
        <v>8</v>
      </c>
      <c r="D1806" s="9">
        <v>0</v>
      </c>
      <c r="E1806" s="8">
        <v>76</v>
      </c>
    </row>
    <row r="1807" s="3" customFormat="1" ht="18.75" spans="1:5">
      <c r="A1807" s="8" t="str">
        <f t="shared" si="32"/>
        <v>250010</v>
      </c>
      <c r="B1807" s="8" t="str">
        <f>"2561402010510"</f>
        <v>2561402010510</v>
      </c>
      <c r="C1807" s="8" t="s">
        <v>8</v>
      </c>
      <c r="D1807" s="9">
        <v>0</v>
      </c>
      <c r="E1807" s="8">
        <v>76</v>
      </c>
    </row>
    <row r="1808" s="3" customFormat="1" ht="18.75" spans="1:5">
      <c r="A1808" s="8" t="str">
        <f t="shared" si="32"/>
        <v>250010</v>
      </c>
      <c r="B1808" s="8" t="str">
        <f>"2561402010519"</f>
        <v>2561402010519</v>
      </c>
      <c r="C1808" s="8" t="s">
        <v>8</v>
      </c>
      <c r="D1808" s="9">
        <v>0</v>
      </c>
      <c r="E1808" s="8">
        <v>76</v>
      </c>
    </row>
    <row r="1809" s="3" customFormat="1" ht="18.75" spans="1:5">
      <c r="A1809" s="8" t="str">
        <f t="shared" si="32"/>
        <v>250010</v>
      </c>
      <c r="B1809" s="8" t="str">
        <f>"2561402010530"</f>
        <v>2561402010530</v>
      </c>
      <c r="C1809" s="8" t="s">
        <v>8</v>
      </c>
      <c r="D1809" s="9">
        <v>0</v>
      </c>
      <c r="E1809" s="8">
        <v>76</v>
      </c>
    </row>
    <row r="1810" s="3" customFormat="1" ht="18.75" spans="1:5">
      <c r="A1810" s="8" t="str">
        <f t="shared" si="32"/>
        <v>250010</v>
      </c>
      <c r="B1810" s="8" t="str">
        <f>"2561402010601"</f>
        <v>2561402010601</v>
      </c>
      <c r="C1810" s="8" t="s">
        <v>8</v>
      </c>
      <c r="D1810" s="9">
        <v>0</v>
      </c>
      <c r="E1810" s="8">
        <v>76</v>
      </c>
    </row>
    <row r="1811" s="3" customFormat="1" ht="18.75" spans="1:5">
      <c r="A1811" s="8" t="str">
        <f t="shared" si="32"/>
        <v>250010</v>
      </c>
      <c r="B1811" s="8" t="str">
        <f>"2561402010607"</f>
        <v>2561402010607</v>
      </c>
      <c r="C1811" s="8" t="s">
        <v>8</v>
      </c>
      <c r="D1811" s="9">
        <v>0</v>
      </c>
      <c r="E1811" s="8">
        <v>76</v>
      </c>
    </row>
    <row r="1812" s="3" customFormat="1" ht="18.75" spans="1:5">
      <c r="A1812" s="8" t="str">
        <f t="shared" si="32"/>
        <v>250010</v>
      </c>
      <c r="B1812" s="8" t="str">
        <f>"2561402010609"</f>
        <v>2561402010609</v>
      </c>
      <c r="C1812" s="8" t="s">
        <v>8</v>
      </c>
      <c r="D1812" s="9">
        <v>0</v>
      </c>
      <c r="E1812" s="8">
        <v>76</v>
      </c>
    </row>
    <row r="1813" s="3" customFormat="1" ht="18.75" spans="1:5">
      <c r="A1813" s="8" t="str">
        <f t="shared" si="32"/>
        <v>250010</v>
      </c>
      <c r="B1813" s="8" t="str">
        <f>"2561402010612"</f>
        <v>2561402010612</v>
      </c>
      <c r="C1813" s="8" t="s">
        <v>8</v>
      </c>
      <c r="D1813" s="9">
        <v>0</v>
      </c>
      <c r="E1813" s="8">
        <v>76</v>
      </c>
    </row>
    <row r="1814" s="3" customFormat="1" ht="18.75" spans="1:5">
      <c r="A1814" s="8" t="str">
        <f t="shared" si="32"/>
        <v>250010</v>
      </c>
      <c r="B1814" s="8" t="str">
        <f>"2561402010625"</f>
        <v>2561402010625</v>
      </c>
      <c r="C1814" s="8" t="s">
        <v>8</v>
      </c>
      <c r="D1814" s="9">
        <v>0</v>
      </c>
      <c r="E1814" s="8">
        <v>76</v>
      </c>
    </row>
    <row r="1815" s="3" customFormat="1" ht="18.75" spans="1:5">
      <c r="A1815" s="8" t="str">
        <f t="shared" si="32"/>
        <v>250010</v>
      </c>
      <c r="B1815" s="8" t="str">
        <f>"2561402010626"</f>
        <v>2561402010626</v>
      </c>
      <c r="C1815" s="8" t="s">
        <v>8</v>
      </c>
      <c r="D1815" s="9">
        <v>0</v>
      </c>
      <c r="E1815" s="8">
        <v>76</v>
      </c>
    </row>
    <row r="1816" s="3" customFormat="1" ht="18.75" spans="1:5">
      <c r="A1816" s="8" t="str">
        <f t="shared" si="32"/>
        <v>250010</v>
      </c>
      <c r="B1816" s="8" t="str">
        <f>"2561402010627"</f>
        <v>2561402010627</v>
      </c>
      <c r="C1816" s="8" t="s">
        <v>8</v>
      </c>
      <c r="D1816" s="9">
        <v>0</v>
      </c>
      <c r="E1816" s="8">
        <v>76</v>
      </c>
    </row>
    <row r="1817" s="3" customFormat="1" ht="18.75" spans="1:5">
      <c r="A1817" s="8" t="str">
        <f t="shared" si="32"/>
        <v>250010</v>
      </c>
      <c r="B1817" s="8" t="str">
        <f>"2561402010703"</f>
        <v>2561402010703</v>
      </c>
      <c r="C1817" s="8" t="s">
        <v>8</v>
      </c>
      <c r="D1817" s="9">
        <v>0</v>
      </c>
      <c r="E1817" s="8">
        <v>76</v>
      </c>
    </row>
    <row r="1818" s="3" customFormat="1" ht="18.75" spans="1:5">
      <c r="A1818" s="8" t="str">
        <f t="shared" si="32"/>
        <v>250010</v>
      </c>
      <c r="B1818" s="8" t="str">
        <f>"2561402010704"</f>
        <v>2561402010704</v>
      </c>
      <c r="C1818" s="8" t="s">
        <v>8</v>
      </c>
      <c r="D1818" s="9">
        <v>0</v>
      </c>
      <c r="E1818" s="8">
        <v>76</v>
      </c>
    </row>
    <row r="1819" s="3" customFormat="1" ht="18.75" spans="1:5">
      <c r="A1819" s="8" t="str">
        <f t="shared" si="32"/>
        <v>250010</v>
      </c>
      <c r="B1819" s="8" t="str">
        <f>"2561402010705"</f>
        <v>2561402010705</v>
      </c>
      <c r="C1819" s="8" t="s">
        <v>8</v>
      </c>
      <c r="D1819" s="9">
        <v>0</v>
      </c>
      <c r="E1819" s="8">
        <v>76</v>
      </c>
    </row>
    <row r="1820" s="3" customFormat="1" ht="18.75" spans="1:5">
      <c r="A1820" s="8" t="str">
        <f t="shared" si="32"/>
        <v>250010</v>
      </c>
      <c r="B1820" s="8" t="str">
        <f>"2561402010707"</f>
        <v>2561402010707</v>
      </c>
      <c r="C1820" s="8" t="s">
        <v>8</v>
      </c>
      <c r="D1820" s="9">
        <v>0</v>
      </c>
      <c r="E1820" s="8">
        <v>76</v>
      </c>
    </row>
    <row r="1821" s="3" customFormat="1" ht="18.75" spans="1:5">
      <c r="A1821" s="8" t="str">
        <f t="shared" si="32"/>
        <v>250010</v>
      </c>
      <c r="B1821" s="8" t="str">
        <f>"2561402010708"</f>
        <v>2561402010708</v>
      </c>
      <c r="C1821" s="8" t="s">
        <v>8</v>
      </c>
      <c r="D1821" s="9">
        <v>0</v>
      </c>
      <c r="E1821" s="8">
        <v>76</v>
      </c>
    </row>
    <row r="1822" s="3" customFormat="1" ht="18.75" spans="1:5">
      <c r="A1822" s="8" t="str">
        <f t="shared" si="32"/>
        <v>250010</v>
      </c>
      <c r="B1822" s="8" t="str">
        <f>"2561402010713"</f>
        <v>2561402010713</v>
      </c>
      <c r="C1822" s="8" t="s">
        <v>8</v>
      </c>
      <c r="D1822" s="9">
        <v>0</v>
      </c>
      <c r="E1822" s="8">
        <v>76</v>
      </c>
    </row>
    <row r="1823" s="3" customFormat="1" ht="18.75" spans="1:5">
      <c r="A1823" s="8" t="str">
        <f t="shared" si="32"/>
        <v>250010</v>
      </c>
      <c r="B1823" s="8" t="str">
        <f>"2561402010725"</f>
        <v>2561402010725</v>
      </c>
      <c r="C1823" s="8" t="s">
        <v>8</v>
      </c>
      <c r="D1823" s="9">
        <v>0</v>
      </c>
      <c r="E1823" s="8">
        <v>76</v>
      </c>
    </row>
    <row r="1824" s="3" customFormat="1" ht="18.75" spans="1:5">
      <c r="A1824" s="8" t="str">
        <f t="shared" si="32"/>
        <v>250010</v>
      </c>
      <c r="B1824" s="8" t="str">
        <f>"2561402010727"</f>
        <v>2561402010727</v>
      </c>
      <c r="C1824" s="8" t="s">
        <v>8</v>
      </c>
      <c r="D1824" s="9">
        <v>0</v>
      </c>
      <c r="E1824" s="8">
        <v>76</v>
      </c>
    </row>
    <row r="1825" s="3" customFormat="1" ht="18.75" spans="1:5">
      <c r="A1825" s="8" t="str">
        <f t="shared" ref="A1825:A1888" si="33">"250011"</f>
        <v>250011</v>
      </c>
      <c r="B1825" s="8" t="str">
        <f>"2561402010828"</f>
        <v>2561402010828</v>
      </c>
      <c r="C1825" s="8" t="s">
        <v>8</v>
      </c>
      <c r="D1825" s="9">
        <v>66.62</v>
      </c>
      <c r="E1825" s="8">
        <v>1</v>
      </c>
    </row>
    <row r="1826" s="3" customFormat="1" ht="18.75" spans="1:5">
      <c r="A1826" s="8" t="str">
        <f t="shared" si="33"/>
        <v>250011</v>
      </c>
      <c r="B1826" s="8" t="str">
        <f>"2561402011007"</f>
        <v>2561402011007</v>
      </c>
      <c r="C1826" s="8" t="s">
        <v>8</v>
      </c>
      <c r="D1826" s="9">
        <v>64.41</v>
      </c>
      <c r="E1826" s="8">
        <v>2</v>
      </c>
    </row>
    <row r="1827" s="3" customFormat="1" ht="18.75" spans="1:5">
      <c r="A1827" s="8" t="str">
        <f t="shared" si="33"/>
        <v>250011</v>
      </c>
      <c r="B1827" s="8" t="str">
        <f>"2561402010901"</f>
        <v>2561402010901</v>
      </c>
      <c r="C1827" s="8" t="s">
        <v>8</v>
      </c>
      <c r="D1827" s="9">
        <v>62.44</v>
      </c>
      <c r="E1827" s="8">
        <v>3</v>
      </c>
    </row>
    <row r="1828" s="3" customFormat="1" ht="18.75" spans="1:5">
      <c r="A1828" s="8" t="str">
        <f t="shared" si="33"/>
        <v>250011</v>
      </c>
      <c r="B1828" s="8" t="str">
        <f>"2561402010929"</f>
        <v>2561402010929</v>
      </c>
      <c r="C1828" s="8" t="s">
        <v>8</v>
      </c>
      <c r="D1828" s="9">
        <v>61.87</v>
      </c>
      <c r="E1828" s="8">
        <v>4</v>
      </c>
    </row>
    <row r="1829" s="3" customFormat="1" ht="18.75" spans="1:5">
      <c r="A1829" s="8" t="str">
        <f t="shared" si="33"/>
        <v>250011</v>
      </c>
      <c r="B1829" s="8" t="str">
        <f>"2561402010921"</f>
        <v>2561402010921</v>
      </c>
      <c r="C1829" s="8" t="s">
        <v>8</v>
      </c>
      <c r="D1829" s="9">
        <v>60.7</v>
      </c>
      <c r="E1829" s="8">
        <v>5</v>
      </c>
    </row>
    <row r="1830" s="3" customFormat="1" ht="18.75" spans="1:5">
      <c r="A1830" s="8" t="str">
        <f t="shared" si="33"/>
        <v>250011</v>
      </c>
      <c r="B1830" s="8" t="str">
        <f>"2561402010925"</f>
        <v>2561402010925</v>
      </c>
      <c r="C1830" s="8" t="s">
        <v>8</v>
      </c>
      <c r="D1830" s="9">
        <v>60.16</v>
      </c>
      <c r="E1830" s="8">
        <v>6</v>
      </c>
    </row>
    <row r="1831" s="3" customFormat="1" ht="18.75" spans="1:5">
      <c r="A1831" s="8" t="str">
        <f t="shared" si="33"/>
        <v>250011</v>
      </c>
      <c r="B1831" s="8" t="str">
        <f>"2561402010904"</f>
        <v>2561402010904</v>
      </c>
      <c r="C1831" s="8" t="s">
        <v>8</v>
      </c>
      <c r="D1831" s="9">
        <v>59.74</v>
      </c>
      <c r="E1831" s="8">
        <v>7</v>
      </c>
    </row>
    <row r="1832" s="3" customFormat="1" ht="18.75" spans="1:5">
      <c r="A1832" s="8" t="str">
        <f t="shared" si="33"/>
        <v>250011</v>
      </c>
      <c r="B1832" s="8" t="str">
        <f>"2561402010815"</f>
        <v>2561402010815</v>
      </c>
      <c r="C1832" s="8" t="s">
        <v>8</v>
      </c>
      <c r="D1832" s="9">
        <v>59.43</v>
      </c>
      <c r="E1832" s="8">
        <v>8</v>
      </c>
    </row>
    <row r="1833" s="3" customFormat="1" ht="18.75" spans="1:5">
      <c r="A1833" s="8" t="str">
        <f t="shared" si="33"/>
        <v>250011</v>
      </c>
      <c r="B1833" s="8" t="str">
        <f>"2561402011009"</f>
        <v>2561402011009</v>
      </c>
      <c r="C1833" s="8" t="s">
        <v>8</v>
      </c>
      <c r="D1833" s="9">
        <v>57.87</v>
      </c>
      <c r="E1833" s="8">
        <v>9</v>
      </c>
    </row>
    <row r="1834" s="3" customFormat="1" ht="18.75" spans="1:5">
      <c r="A1834" s="8" t="str">
        <f t="shared" si="33"/>
        <v>250011</v>
      </c>
      <c r="B1834" s="8" t="str">
        <f>"2561402010912"</f>
        <v>2561402010912</v>
      </c>
      <c r="C1834" s="8" t="s">
        <v>8</v>
      </c>
      <c r="D1834" s="9">
        <v>57.79</v>
      </c>
      <c r="E1834" s="8">
        <v>10</v>
      </c>
    </row>
    <row r="1835" s="3" customFormat="1" ht="18.75" spans="1:5">
      <c r="A1835" s="8" t="str">
        <f t="shared" si="33"/>
        <v>250011</v>
      </c>
      <c r="B1835" s="8" t="str">
        <f>"2561402011003"</f>
        <v>2561402011003</v>
      </c>
      <c r="C1835" s="8" t="s">
        <v>8</v>
      </c>
      <c r="D1835" s="9">
        <v>57.62</v>
      </c>
      <c r="E1835" s="8">
        <v>11</v>
      </c>
    </row>
    <row r="1836" s="3" customFormat="1" ht="18.75" spans="1:5">
      <c r="A1836" s="8" t="str">
        <f t="shared" si="33"/>
        <v>250011</v>
      </c>
      <c r="B1836" s="8" t="str">
        <f>"2561402010920"</f>
        <v>2561402010920</v>
      </c>
      <c r="C1836" s="8" t="s">
        <v>8</v>
      </c>
      <c r="D1836" s="9">
        <v>57.56</v>
      </c>
      <c r="E1836" s="8">
        <v>12</v>
      </c>
    </row>
    <row r="1837" s="3" customFormat="1" ht="18.75" spans="1:5">
      <c r="A1837" s="8" t="str">
        <f t="shared" si="33"/>
        <v>250011</v>
      </c>
      <c r="B1837" s="8" t="str">
        <f>"2561402010803"</f>
        <v>2561402010803</v>
      </c>
      <c r="C1837" s="8" t="s">
        <v>8</v>
      </c>
      <c r="D1837" s="9">
        <v>57.24</v>
      </c>
      <c r="E1837" s="8">
        <v>13</v>
      </c>
    </row>
    <row r="1838" s="3" customFormat="1" ht="18.75" spans="1:5">
      <c r="A1838" s="8" t="str">
        <f t="shared" si="33"/>
        <v>250011</v>
      </c>
      <c r="B1838" s="8" t="str">
        <f>"2561402010826"</f>
        <v>2561402010826</v>
      </c>
      <c r="C1838" s="8" t="s">
        <v>8</v>
      </c>
      <c r="D1838" s="9">
        <v>56.79</v>
      </c>
      <c r="E1838" s="8">
        <v>14</v>
      </c>
    </row>
    <row r="1839" s="3" customFormat="1" ht="18.75" spans="1:5">
      <c r="A1839" s="8" t="str">
        <f t="shared" si="33"/>
        <v>250011</v>
      </c>
      <c r="B1839" s="8" t="str">
        <f>"2561402010802"</f>
        <v>2561402010802</v>
      </c>
      <c r="C1839" s="8" t="s">
        <v>8</v>
      </c>
      <c r="D1839" s="9">
        <v>56.7</v>
      </c>
      <c r="E1839" s="8">
        <v>15</v>
      </c>
    </row>
    <row r="1840" s="3" customFormat="1" ht="18.75" spans="1:5">
      <c r="A1840" s="8" t="str">
        <f t="shared" si="33"/>
        <v>250011</v>
      </c>
      <c r="B1840" s="8" t="str">
        <f>"2561402010825"</f>
        <v>2561402010825</v>
      </c>
      <c r="C1840" s="8" t="s">
        <v>8</v>
      </c>
      <c r="D1840" s="9">
        <v>56.58</v>
      </c>
      <c r="E1840" s="8">
        <v>16</v>
      </c>
    </row>
    <row r="1841" s="3" customFormat="1" ht="18.75" spans="1:5">
      <c r="A1841" s="8" t="str">
        <f t="shared" si="33"/>
        <v>250011</v>
      </c>
      <c r="B1841" s="8" t="str">
        <f>"2561402010827"</f>
        <v>2561402010827</v>
      </c>
      <c r="C1841" s="8" t="s">
        <v>8</v>
      </c>
      <c r="D1841" s="9">
        <v>56.29</v>
      </c>
      <c r="E1841" s="8">
        <v>17</v>
      </c>
    </row>
    <row r="1842" s="3" customFormat="1" ht="18.75" spans="1:5">
      <c r="A1842" s="8" t="str">
        <f t="shared" si="33"/>
        <v>250011</v>
      </c>
      <c r="B1842" s="8" t="str">
        <f>"2561402010808"</f>
        <v>2561402010808</v>
      </c>
      <c r="C1842" s="8" t="s">
        <v>8</v>
      </c>
      <c r="D1842" s="9">
        <v>56.14</v>
      </c>
      <c r="E1842" s="8">
        <v>18</v>
      </c>
    </row>
    <row r="1843" s="3" customFormat="1" ht="18.75" spans="1:5">
      <c r="A1843" s="8" t="str">
        <f t="shared" si="33"/>
        <v>250011</v>
      </c>
      <c r="B1843" s="8" t="str">
        <f>"2561402010930"</f>
        <v>2561402010930</v>
      </c>
      <c r="C1843" s="8" t="s">
        <v>8</v>
      </c>
      <c r="D1843" s="9">
        <v>55.28</v>
      </c>
      <c r="E1843" s="8">
        <v>19</v>
      </c>
    </row>
    <row r="1844" s="3" customFormat="1" ht="18.75" spans="1:5">
      <c r="A1844" s="8" t="str">
        <f t="shared" si="33"/>
        <v>250011</v>
      </c>
      <c r="B1844" s="8" t="str">
        <f>"2561402010809"</f>
        <v>2561402010809</v>
      </c>
      <c r="C1844" s="8" t="s">
        <v>8</v>
      </c>
      <c r="D1844" s="9">
        <v>55.15</v>
      </c>
      <c r="E1844" s="8">
        <v>20</v>
      </c>
    </row>
    <row r="1845" s="3" customFormat="1" ht="18.75" spans="1:5">
      <c r="A1845" s="8" t="str">
        <f t="shared" si="33"/>
        <v>250011</v>
      </c>
      <c r="B1845" s="8" t="str">
        <f>"2561402010821"</f>
        <v>2561402010821</v>
      </c>
      <c r="C1845" s="8" t="s">
        <v>8</v>
      </c>
      <c r="D1845" s="9">
        <v>54.94</v>
      </c>
      <c r="E1845" s="8">
        <v>21</v>
      </c>
    </row>
    <row r="1846" s="3" customFormat="1" ht="18.75" spans="1:5">
      <c r="A1846" s="8" t="str">
        <f t="shared" si="33"/>
        <v>250011</v>
      </c>
      <c r="B1846" s="8" t="str">
        <f>"2561402010915"</f>
        <v>2561402010915</v>
      </c>
      <c r="C1846" s="8" t="s">
        <v>8</v>
      </c>
      <c r="D1846" s="9">
        <v>54.7</v>
      </c>
      <c r="E1846" s="8">
        <v>22</v>
      </c>
    </row>
    <row r="1847" s="3" customFormat="1" ht="18.75" spans="1:5">
      <c r="A1847" s="8" t="str">
        <f t="shared" si="33"/>
        <v>250011</v>
      </c>
      <c r="B1847" s="8" t="str">
        <f>"2561402010824"</f>
        <v>2561402010824</v>
      </c>
      <c r="C1847" s="8" t="s">
        <v>8</v>
      </c>
      <c r="D1847" s="9">
        <v>54.69</v>
      </c>
      <c r="E1847" s="8">
        <v>23</v>
      </c>
    </row>
    <row r="1848" s="3" customFormat="1" ht="18.75" spans="1:5">
      <c r="A1848" s="8" t="str">
        <f t="shared" si="33"/>
        <v>250011</v>
      </c>
      <c r="B1848" s="8" t="str">
        <f>"2561402010730"</f>
        <v>2561402010730</v>
      </c>
      <c r="C1848" s="8" t="s">
        <v>8</v>
      </c>
      <c r="D1848" s="9">
        <v>54.55</v>
      </c>
      <c r="E1848" s="8">
        <v>24</v>
      </c>
    </row>
    <row r="1849" s="3" customFormat="1" ht="18.75" spans="1:5">
      <c r="A1849" s="8" t="str">
        <f t="shared" si="33"/>
        <v>250011</v>
      </c>
      <c r="B1849" s="8" t="str">
        <f>"2561402010922"</f>
        <v>2561402010922</v>
      </c>
      <c r="C1849" s="8" t="s">
        <v>8</v>
      </c>
      <c r="D1849" s="9">
        <v>54.2</v>
      </c>
      <c r="E1849" s="8">
        <v>25</v>
      </c>
    </row>
    <row r="1850" s="3" customFormat="1" ht="18.75" spans="1:5">
      <c r="A1850" s="8" t="str">
        <f t="shared" si="33"/>
        <v>250011</v>
      </c>
      <c r="B1850" s="8" t="str">
        <f>"2561402011015"</f>
        <v>2561402011015</v>
      </c>
      <c r="C1850" s="8" t="s">
        <v>8</v>
      </c>
      <c r="D1850" s="9">
        <v>54.09</v>
      </c>
      <c r="E1850" s="8">
        <v>26</v>
      </c>
    </row>
    <row r="1851" s="3" customFormat="1" ht="18.75" spans="1:5">
      <c r="A1851" s="8" t="str">
        <f t="shared" si="33"/>
        <v>250011</v>
      </c>
      <c r="B1851" s="8" t="str">
        <f>"2561402010926"</f>
        <v>2561402010926</v>
      </c>
      <c r="C1851" s="8" t="s">
        <v>8</v>
      </c>
      <c r="D1851" s="9">
        <v>53.85</v>
      </c>
      <c r="E1851" s="8">
        <v>27</v>
      </c>
    </row>
    <row r="1852" s="3" customFormat="1" ht="18.75" spans="1:5">
      <c r="A1852" s="8" t="str">
        <f t="shared" si="33"/>
        <v>250011</v>
      </c>
      <c r="B1852" s="8" t="str">
        <f>"2561402010807"</f>
        <v>2561402010807</v>
      </c>
      <c r="C1852" s="8" t="s">
        <v>8</v>
      </c>
      <c r="D1852" s="9">
        <v>53.79</v>
      </c>
      <c r="E1852" s="8">
        <v>28</v>
      </c>
    </row>
    <row r="1853" s="3" customFormat="1" ht="18.75" spans="1:5">
      <c r="A1853" s="8" t="str">
        <f t="shared" si="33"/>
        <v>250011</v>
      </c>
      <c r="B1853" s="8" t="str">
        <f>"2561402010908"</f>
        <v>2561402010908</v>
      </c>
      <c r="C1853" s="8" t="s">
        <v>8</v>
      </c>
      <c r="D1853" s="9">
        <v>53.6</v>
      </c>
      <c r="E1853" s="8">
        <v>29</v>
      </c>
    </row>
    <row r="1854" s="3" customFormat="1" ht="18.75" spans="1:5">
      <c r="A1854" s="8" t="str">
        <f t="shared" si="33"/>
        <v>250011</v>
      </c>
      <c r="B1854" s="8" t="str">
        <f>"2561402010820"</f>
        <v>2561402010820</v>
      </c>
      <c r="C1854" s="8" t="s">
        <v>8</v>
      </c>
      <c r="D1854" s="9">
        <v>53.05</v>
      </c>
      <c r="E1854" s="8">
        <v>30</v>
      </c>
    </row>
    <row r="1855" s="3" customFormat="1" ht="18.75" spans="1:5">
      <c r="A1855" s="8" t="str">
        <f t="shared" si="33"/>
        <v>250011</v>
      </c>
      <c r="B1855" s="8" t="str">
        <f>"2561402010914"</f>
        <v>2561402010914</v>
      </c>
      <c r="C1855" s="8" t="s">
        <v>8</v>
      </c>
      <c r="D1855" s="9">
        <v>52.87</v>
      </c>
      <c r="E1855" s="8">
        <v>31</v>
      </c>
    </row>
    <row r="1856" s="3" customFormat="1" ht="18.75" spans="1:5">
      <c r="A1856" s="8" t="str">
        <f t="shared" si="33"/>
        <v>250011</v>
      </c>
      <c r="B1856" s="8" t="str">
        <f>"2561402010928"</f>
        <v>2561402010928</v>
      </c>
      <c r="C1856" s="8" t="s">
        <v>8</v>
      </c>
      <c r="D1856" s="9">
        <v>52.81</v>
      </c>
      <c r="E1856" s="8">
        <v>32</v>
      </c>
    </row>
    <row r="1857" s="3" customFormat="1" ht="18.75" spans="1:5">
      <c r="A1857" s="8" t="str">
        <f t="shared" si="33"/>
        <v>250011</v>
      </c>
      <c r="B1857" s="8" t="str">
        <f>"2561402010923"</f>
        <v>2561402010923</v>
      </c>
      <c r="C1857" s="8" t="s">
        <v>8</v>
      </c>
      <c r="D1857" s="9">
        <v>52.45</v>
      </c>
      <c r="E1857" s="8">
        <v>33</v>
      </c>
    </row>
    <row r="1858" s="3" customFormat="1" ht="18.75" spans="1:5">
      <c r="A1858" s="8" t="str">
        <f t="shared" si="33"/>
        <v>250011</v>
      </c>
      <c r="B1858" s="8" t="str">
        <f>"2561402011012"</f>
        <v>2561402011012</v>
      </c>
      <c r="C1858" s="8" t="s">
        <v>8</v>
      </c>
      <c r="D1858" s="9">
        <v>52.37</v>
      </c>
      <c r="E1858" s="8">
        <v>34</v>
      </c>
    </row>
    <row r="1859" s="3" customFormat="1" ht="18.75" spans="1:5">
      <c r="A1859" s="8" t="str">
        <f t="shared" si="33"/>
        <v>250011</v>
      </c>
      <c r="B1859" s="8" t="str">
        <f>"2561402010924"</f>
        <v>2561402010924</v>
      </c>
      <c r="C1859" s="8" t="s">
        <v>8</v>
      </c>
      <c r="D1859" s="9">
        <v>52.16</v>
      </c>
      <c r="E1859" s="8">
        <v>35</v>
      </c>
    </row>
    <row r="1860" s="3" customFormat="1" ht="18.75" spans="1:5">
      <c r="A1860" s="8" t="str">
        <f t="shared" si="33"/>
        <v>250011</v>
      </c>
      <c r="B1860" s="8" t="str">
        <f>"2561402011016"</f>
        <v>2561402011016</v>
      </c>
      <c r="C1860" s="8" t="s">
        <v>8</v>
      </c>
      <c r="D1860" s="9">
        <v>52.16</v>
      </c>
      <c r="E1860" s="8">
        <v>35</v>
      </c>
    </row>
    <row r="1861" s="3" customFormat="1" ht="18.75" spans="1:5">
      <c r="A1861" s="8" t="str">
        <f t="shared" si="33"/>
        <v>250011</v>
      </c>
      <c r="B1861" s="8" t="str">
        <f>"2561402010916"</f>
        <v>2561402010916</v>
      </c>
      <c r="C1861" s="8" t="s">
        <v>8</v>
      </c>
      <c r="D1861" s="9">
        <v>52</v>
      </c>
      <c r="E1861" s="8">
        <v>37</v>
      </c>
    </row>
    <row r="1862" s="3" customFormat="1" ht="18.75" spans="1:5">
      <c r="A1862" s="8" t="str">
        <f t="shared" si="33"/>
        <v>250011</v>
      </c>
      <c r="B1862" s="8" t="str">
        <f>"2561402010801"</f>
        <v>2561402010801</v>
      </c>
      <c r="C1862" s="8" t="s">
        <v>8</v>
      </c>
      <c r="D1862" s="9">
        <v>51.52</v>
      </c>
      <c r="E1862" s="8">
        <v>38</v>
      </c>
    </row>
    <row r="1863" s="3" customFormat="1" ht="18.75" spans="1:5">
      <c r="A1863" s="8" t="str">
        <f t="shared" si="33"/>
        <v>250011</v>
      </c>
      <c r="B1863" s="8" t="str">
        <f>"2561402010805"</f>
        <v>2561402010805</v>
      </c>
      <c r="C1863" s="8" t="s">
        <v>8</v>
      </c>
      <c r="D1863" s="9">
        <v>50.81</v>
      </c>
      <c r="E1863" s="8">
        <v>39</v>
      </c>
    </row>
    <row r="1864" s="3" customFormat="1" ht="18.75" spans="1:5">
      <c r="A1864" s="8" t="str">
        <f t="shared" si="33"/>
        <v>250011</v>
      </c>
      <c r="B1864" s="8" t="str">
        <f>"2561402010917"</f>
        <v>2561402010917</v>
      </c>
      <c r="C1864" s="8" t="s">
        <v>8</v>
      </c>
      <c r="D1864" s="9">
        <v>49.93</v>
      </c>
      <c r="E1864" s="8">
        <v>40</v>
      </c>
    </row>
    <row r="1865" s="3" customFormat="1" ht="18.75" spans="1:5">
      <c r="A1865" s="8" t="str">
        <f t="shared" si="33"/>
        <v>250011</v>
      </c>
      <c r="B1865" s="8" t="str">
        <f>"2561402010907"</f>
        <v>2561402010907</v>
      </c>
      <c r="C1865" s="8" t="s">
        <v>8</v>
      </c>
      <c r="D1865" s="9">
        <v>49.65</v>
      </c>
      <c r="E1865" s="8">
        <v>41</v>
      </c>
    </row>
    <row r="1866" s="3" customFormat="1" ht="18.75" spans="1:5">
      <c r="A1866" s="8" t="str">
        <f t="shared" si="33"/>
        <v>250011</v>
      </c>
      <c r="B1866" s="8" t="str">
        <f>"2561402010823"</f>
        <v>2561402010823</v>
      </c>
      <c r="C1866" s="8" t="s">
        <v>8</v>
      </c>
      <c r="D1866" s="9">
        <v>49.56</v>
      </c>
      <c r="E1866" s="8">
        <v>42</v>
      </c>
    </row>
    <row r="1867" s="3" customFormat="1" ht="18.75" spans="1:5">
      <c r="A1867" s="8" t="str">
        <f t="shared" si="33"/>
        <v>250011</v>
      </c>
      <c r="B1867" s="8" t="str">
        <f>"2561402010811"</f>
        <v>2561402010811</v>
      </c>
      <c r="C1867" s="8" t="s">
        <v>8</v>
      </c>
      <c r="D1867" s="9">
        <v>49.44</v>
      </c>
      <c r="E1867" s="8">
        <v>43</v>
      </c>
    </row>
    <row r="1868" s="3" customFormat="1" ht="18.75" spans="1:5">
      <c r="A1868" s="8" t="str">
        <f t="shared" si="33"/>
        <v>250011</v>
      </c>
      <c r="B1868" s="8" t="str">
        <f>"2561402010817"</f>
        <v>2561402010817</v>
      </c>
      <c r="C1868" s="8" t="s">
        <v>8</v>
      </c>
      <c r="D1868" s="9">
        <v>49.31</v>
      </c>
      <c r="E1868" s="8">
        <v>44</v>
      </c>
    </row>
    <row r="1869" s="3" customFormat="1" ht="18.75" spans="1:5">
      <c r="A1869" s="8" t="str">
        <f t="shared" si="33"/>
        <v>250011</v>
      </c>
      <c r="B1869" s="8" t="str">
        <f>"2561402010927"</f>
        <v>2561402010927</v>
      </c>
      <c r="C1869" s="8" t="s">
        <v>8</v>
      </c>
      <c r="D1869" s="9">
        <v>48.76</v>
      </c>
      <c r="E1869" s="8">
        <v>45</v>
      </c>
    </row>
    <row r="1870" s="3" customFormat="1" ht="18.75" spans="1:5">
      <c r="A1870" s="8" t="str">
        <f t="shared" si="33"/>
        <v>250011</v>
      </c>
      <c r="B1870" s="8" t="str">
        <f>"2561402010909"</f>
        <v>2561402010909</v>
      </c>
      <c r="C1870" s="8" t="s">
        <v>8</v>
      </c>
      <c r="D1870" s="9">
        <v>48.64</v>
      </c>
      <c r="E1870" s="8">
        <v>46</v>
      </c>
    </row>
    <row r="1871" s="3" customFormat="1" ht="18.75" spans="1:5">
      <c r="A1871" s="8" t="str">
        <f t="shared" si="33"/>
        <v>250011</v>
      </c>
      <c r="B1871" s="8" t="str">
        <f>"2561402010919"</f>
        <v>2561402010919</v>
      </c>
      <c r="C1871" s="8" t="s">
        <v>8</v>
      </c>
      <c r="D1871" s="9">
        <v>47.88</v>
      </c>
      <c r="E1871" s="8">
        <v>47</v>
      </c>
    </row>
    <row r="1872" s="3" customFormat="1" ht="18.75" spans="1:5">
      <c r="A1872" s="8" t="str">
        <f t="shared" si="33"/>
        <v>250011</v>
      </c>
      <c r="B1872" s="8" t="str">
        <f>"2561402011002"</f>
        <v>2561402011002</v>
      </c>
      <c r="C1872" s="8" t="s">
        <v>8</v>
      </c>
      <c r="D1872" s="9">
        <v>47.17</v>
      </c>
      <c r="E1872" s="8">
        <v>48</v>
      </c>
    </row>
    <row r="1873" s="3" customFormat="1" ht="18.75" spans="1:5">
      <c r="A1873" s="8" t="str">
        <f t="shared" si="33"/>
        <v>250011</v>
      </c>
      <c r="B1873" s="8" t="str">
        <f>"2561402010910"</f>
        <v>2561402010910</v>
      </c>
      <c r="C1873" s="8" t="s">
        <v>8</v>
      </c>
      <c r="D1873" s="9">
        <v>46.39</v>
      </c>
      <c r="E1873" s="8">
        <v>49</v>
      </c>
    </row>
    <row r="1874" s="3" customFormat="1" ht="18.75" spans="1:5">
      <c r="A1874" s="8" t="str">
        <f t="shared" si="33"/>
        <v>250011</v>
      </c>
      <c r="B1874" s="8" t="str">
        <f>"2561402010812"</f>
        <v>2561402010812</v>
      </c>
      <c r="C1874" s="8" t="s">
        <v>8</v>
      </c>
      <c r="D1874" s="9">
        <v>46.35</v>
      </c>
      <c r="E1874" s="8">
        <v>50</v>
      </c>
    </row>
    <row r="1875" s="3" customFormat="1" ht="18.75" spans="1:5">
      <c r="A1875" s="8" t="str">
        <f t="shared" si="33"/>
        <v>250011</v>
      </c>
      <c r="B1875" s="8" t="str">
        <f>"2561402010911"</f>
        <v>2561402010911</v>
      </c>
      <c r="C1875" s="8" t="s">
        <v>8</v>
      </c>
      <c r="D1875" s="9">
        <v>46.18</v>
      </c>
      <c r="E1875" s="8">
        <v>51</v>
      </c>
    </row>
    <row r="1876" s="3" customFormat="1" ht="18.75" spans="1:5">
      <c r="A1876" s="8" t="str">
        <f t="shared" si="33"/>
        <v>250011</v>
      </c>
      <c r="B1876" s="8" t="str">
        <f>"2561402011005"</f>
        <v>2561402011005</v>
      </c>
      <c r="C1876" s="8" t="s">
        <v>8</v>
      </c>
      <c r="D1876" s="9">
        <v>45.94</v>
      </c>
      <c r="E1876" s="8">
        <v>52</v>
      </c>
    </row>
    <row r="1877" s="3" customFormat="1" ht="18.75" spans="1:5">
      <c r="A1877" s="8" t="str">
        <f t="shared" si="33"/>
        <v>250011</v>
      </c>
      <c r="B1877" s="8" t="str">
        <f>"2561402011018"</f>
        <v>2561402011018</v>
      </c>
      <c r="C1877" s="8" t="s">
        <v>8</v>
      </c>
      <c r="D1877" s="9">
        <v>43.75</v>
      </c>
      <c r="E1877" s="8">
        <v>53</v>
      </c>
    </row>
    <row r="1878" s="3" customFormat="1" ht="18.75" spans="1:5">
      <c r="A1878" s="8" t="str">
        <f t="shared" si="33"/>
        <v>250011</v>
      </c>
      <c r="B1878" s="8" t="str">
        <f>"2561402010918"</f>
        <v>2561402010918</v>
      </c>
      <c r="C1878" s="8" t="s">
        <v>8</v>
      </c>
      <c r="D1878" s="9">
        <v>43.64</v>
      </c>
      <c r="E1878" s="8">
        <v>54</v>
      </c>
    </row>
    <row r="1879" s="3" customFormat="1" ht="18.75" spans="1:5">
      <c r="A1879" s="8" t="str">
        <f t="shared" si="33"/>
        <v>250011</v>
      </c>
      <c r="B1879" s="8" t="str">
        <f>"2561402011019"</f>
        <v>2561402011019</v>
      </c>
      <c r="C1879" s="8" t="s">
        <v>8</v>
      </c>
      <c r="D1879" s="9">
        <v>43.05</v>
      </c>
      <c r="E1879" s="8">
        <v>55</v>
      </c>
    </row>
    <row r="1880" s="3" customFormat="1" ht="18.75" spans="1:5">
      <c r="A1880" s="8" t="str">
        <f t="shared" si="33"/>
        <v>250011</v>
      </c>
      <c r="B1880" s="8" t="str">
        <f>"2561402011014"</f>
        <v>2561402011014</v>
      </c>
      <c r="C1880" s="8" t="s">
        <v>8</v>
      </c>
      <c r="D1880" s="9">
        <v>40.45</v>
      </c>
      <c r="E1880" s="8">
        <v>56</v>
      </c>
    </row>
    <row r="1881" s="3" customFormat="1" ht="18.75" spans="1:5">
      <c r="A1881" s="8" t="str">
        <f t="shared" si="33"/>
        <v>250011</v>
      </c>
      <c r="B1881" s="8" t="str">
        <f>"2561402010729"</f>
        <v>2561402010729</v>
      </c>
      <c r="C1881" s="8" t="s">
        <v>8</v>
      </c>
      <c r="D1881" s="9">
        <v>35.48</v>
      </c>
      <c r="E1881" s="8">
        <v>57</v>
      </c>
    </row>
    <row r="1882" s="3" customFormat="1" ht="18.75" spans="1:5">
      <c r="A1882" s="8" t="str">
        <f t="shared" si="33"/>
        <v>250011</v>
      </c>
      <c r="B1882" s="8" t="str">
        <f>"2561402011008"</f>
        <v>2561402011008</v>
      </c>
      <c r="C1882" s="8" t="s">
        <v>8</v>
      </c>
      <c r="D1882" s="9">
        <v>33.83</v>
      </c>
      <c r="E1882" s="8">
        <v>58</v>
      </c>
    </row>
    <row r="1883" s="3" customFormat="1" ht="18.75" spans="1:5">
      <c r="A1883" s="8" t="str">
        <f t="shared" si="33"/>
        <v>250011</v>
      </c>
      <c r="B1883" s="8" t="str">
        <f>"2561402010813"</f>
        <v>2561402010813</v>
      </c>
      <c r="C1883" s="8" t="s">
        <v>8</v>
      </c>
      <c r="D1883" s="9">
        <v>21.84</v>
      </c>
      <c r="E1883" s="8">
        <v>59</v>
      </c>
    </row>
    <row r="1884" s="3" customFormat="1" ht="18.75" spans="1:5">
      <c r="A1884" s="8" t="str">
        <f t="shared" si="33"/>
        <v>250011</v>
      </c>
      <c r="B1884" s="8" t="str">
        <f>"2561402010816"</f>
        <v>2561402010816</v>
      </c>
      <c r="C1884" s="8" t="s">
        <v>8</v>
      </c>
      <c r="D1884" s="9">
        <v>21.64</v>
      </c>
      <c r="E1884" s="8">
        <v>60</v>
      </c>
    </row>
    <row r="1885" s="3" customFormat="1" ht="18.75" spans="1:5">
      <c r="A1885" s="8" t="str">
        <f t="shared" si="33"/>
        <v>250011</v>
      </c>
      <c r="B1885" s="8" t="str">
        <f>"2561402010818"</f>
        <v>2561402010818</v>
      </c>
      <c r="C1885" s="8" t="s">
        <v>8</v>
      </c>
      <c r="D1885" s="9">
        <v>21.1</v>
      </c>
      <c r="E1885" s="8">
        <v>61</v>
      </c>
    </row>
    <row r="1886" s="3" customFormat="1" ht="18.75" spans="1:5">
      <c r="A1886" s="8" t="str">
        <f t="shared" si="33"/>
        <v>250011</v>
      </c>
      <c r="B1886" s="8" t="str">
        <f>"2561402010830"</f>
        <v>2561402010830</v>
      </c>
      <c r="C1886" s="8" t="s">
        <v>8</v>
      </c>
      <c r="D1886" s="9">
        <v>21.04</v>
      </c>
      <c r="E1886" s="8">
        <v>62</v>
      </c>
    </row>
    <row r="1887" s="3" customFormat="1" ht="18.75" spans="1:5">
      <c r="A1887" s="8" t="str">
        <f t="shared" si="33"/>
        <v>250011</v>
      </c>
      <c r="B1887" s="8" t="str">
        <f>"2561402010906"</f>
        <v>2561402010906</v>
      </c>
      <c r="C1887" s="8" t="s">
        <v>8</v>
      </c>
      <c r="D1887" s="9">
        <v>17.59</v>
      </c>
      <c r="E1887" s="8">
        <v>63</v>
      </c>
    </row>
    <row r="1888" s="3" customFormat="1" ht="18.75" spans="1:5">
      <c r="A1888" s="8" t="str">
        <f t="shared" si="33"/>
        <v>250011</v>
      </c>
      <c r="B1888" s="8" t="str">
        <f>"2561402010804"</f>
        <v>2561402010804</v>
      </c>
      <c r="C1888" s="8" t="s">
        <v>8</v>
      </c>
      <c r="D1888" s="9">
        <v>12.72</v>
      </c>
      <c r="E1888" s="8">
        <v>64</v>
      </c>
    </row>
    <row r="1889" s="3" customFormat="1" ht="18.75" spans="1:5">
      <c r="A1889" s="8" t="str">
        <f t="shared" ref="A1889:A1905" si="34">"250011"</f>
        <v>250011</v>
      </c>
      <c r="B1889" s="8" t="str">
        <f>"2561402011011"</f>
        <v>2561402011011</v>
      </c>
      <c r="C1889" s="8" t="s">
        <v>8</v>
      </c>
      <c r="D1889" s="9">
        <v>11.72</v>
      </c>
      <c r="E1889" s="8">
        <v>65</v>
      </c>
    </row>
    <row r="1890" s="3" customFormat="1" ht="18.75" spans="1:5">
      <c r="A1890" s="8" t="str">
        <f t="shared" si="34"/>
        <v>250011</v>
      </c>
      <c r="B1890" s="8" t="str">
        <f>"2561402011010"</f>
        <v>2561402011010</v>
      </c>
      <c r="C1890" s="8" t="s">
        <v>8</v>
      </c>
      <c r="D1890" s="9">
        <v>10.38</v>
      </c>
      <c r="E1890" s="8">
        <v>66</v>
      </c>
    </row>
    <row r="1891" s="3" customFormat="1" ht="18.75" spans="1:5">
      <c r="A1891" s="8" t="str">
        <f t="shared" si="34"/>
        <v>250011</v>
      </c>
      <c r="B1891" s="8" t="str">
        <f>"2561402010806"</f>
        <v>2561402010806</v>
      </c>
      <c r="C1891" s="8" t="s">
        <v>8</v>
      </c>
      <c r="D1891" s="9">
        <v>0</v>
      </c>
      <c r="E1891" s="8">
        <v>67</v>
      </c>
    </row>
    <row r="1892" s="3" customFormat="1" ht="18.75" spans="1:5">
      <c r="A1892" s="8" t="str">
        <f t="shared" si="34"/>
        <v>250011</v>
      </c>
      <c r="B1892" s="8" t="str">
        <f>"2561402010810"</f>
        <v>2561402010810</v>
      </c>
      <c r="C1892" s="8" t="s">
        <v>8</v>
      </c>
      <c r="D1892" s="9">
        <v>0</v>
      </c>
      <c r="E1892" s="8">
        <v>67</v>
      </c>
    </row>
    <row r="1893" s="3" customFormat="1" ht="18.75" spans="1:5">
      <c r="A1893" s="8" t="str">
        <f t="shared" si="34"/>
        <v>250011</v>
      </c>
      <c r="B1893" s="8" t="str">
        <f>"2561402010814"</f>
        <v>2561402010814</v>
      </c>
      <c r="C1893" s="8" t="s">
        <v>8</v>
      </c>
      <c r="D1893" s="9">
        <v>0</v>
      </c>
      <c r="E1893" s="8">
        <v>67</v>
      </c>
    </row>
    <row r="1894" s="3" customFormat="1" ht="18.75" spans="1:5">
      <c r="A1894" s="8" t="str">
        <f t="shared" si="34"/>
        <v>250011</v>
      </c>
      <c r="B1894" s="8" t="str">
        <f>"2561402010819"</f>
        <v>2561402010819</v>
      </c>
      <c r="C1894" s="8" t="s">
        <v>8</v>
      </c>
      <c r="D1894" s="9">
        <v>0</v>
      </c>
      <c r="E1894" s="8">
        <v>67</v>
      </c>
    </row>
    <row r="1895" s="3" customFormat="1" ht="18.75" spans="1:5">
      <c r="A1895" s="8" t="str">
        <f t="shared" si="34"/>
        <v>250011</v>
      </c>
      <c r="B1895" s="8" t="str">
        <f>"2561402010822"</f>
        <v>2561402010822</v>
      </c>
      <c r="C1895" s="8" t="s">
        <v>8</v>
      </c>
      <c r="D1895" s="9">
        <v>0</v>
      </c>
      <c r="E1895" s="8">
        <v>67</v>
      </c>
    </row>
    <row r="1896" s="3" customFormat="1" ht="18.75" spans="1:5">
      <c r="A1896" s="8" t="str">
        <f t="shared" si="34"/>
        <v>250011</v>
      </c>
      <c r="B1896" s="8" t="str">
        <f>"2561402010829"</f>
        <v>2561402010829</v>
      </c>
      <c r="C1896" s="8" t="s">
        <v>8</v>
      </c>
      <c r="D1896" s="9">
        <v>0</v>
      </c>
      <c r="E1896" s="8">
        <v>67</v>
      </c>
    </row>
    <row r="1897" s="3" customFormat="1" ht="18.75" spans="1:5">
      <c r="A1897" s="8" t="str">
        <f t="shared" si="34"/>
        <v>250011</v>
      </c>
      <c r="B1897" s="8" t="str">
        <f>"2561402010902"</f>
        <v>2561402010902</v>
      </c>
      <c r="C1897" s="8" t="s">
        <v>8</v>
      </c>
      <c r="D1897" s="9">
        <v>0</v>
      </c>
      <c r="E1897" s="8">
        <v>67</v>
      </c>
    </row>
    <row r="1898" s="3" customFormat="1" ht="18.75" spans="1:5">
      <c r="A1898" s="8" t="str">
        <f t="shared" si="34"/>
        <v>250011</v>
      </c>
      <c r="B1898" s="8" t="str">
        <f>"2561402010903"</f>
        <v>2561402010903</v>
      </c>
      <c r="C1898" s="8" t="s">
        <v>8</v>
      </c>
      <c r="D1898" s="9">
        <v>0</v>
      </c>
      <c r="E1898" s="8">
        <v>67</v>
      </c>
    </row>
    <row r="1899" s="3" customFormat="1" ht="18.75" spans="1:5">
      <c r="A1899" s="8" t="str">
        <f t="shared" si="34"/>
        <v>250011</v>
      </c>
      <c r="B1899" s="8" t="str">
        <f>"2561402010905"</f>
        <v>2561402010905</v>
      </c>
      <c r="C1899" s="8" t="s">
        <v>8</v>
      </c>
      <c r="D1899" s="9">
        <v>0</v>
      </c>
      <c r="E1899" s="8">
        <v>67</v>
      </c>
    </row>
    <row r="1900" s="3" customFormat="1" ht="18.75" spans="1:5">
      <c r="A1900" s="8" t="str">
        <f t="shared" si="34"/>
        <v>250011</v>
      </c>
      <c r="B1900" s="8" t="str">
        <f>"2561402010913"</f>
        <v>2561402010913</v>
      </c>
      <c r="C1900" s="8" t="s">
        <v>8</v>
      </c>
      <c r="D1900" s="9">
        <v>0</v>
      </c>
      <c r="E1900" s="8">
        <v>67</v>
      </c>
    </row>
    <row r="1901" s="3" customFormat="1" ht="18.75" spans="1:5">
      <c r="A1901" s="8" t="str">
        <f t="shared" si="34"/>
        <v>250011</v>
      </c>
      <c r="B1901" s="8" t="str">
        <f>"2561402011001"</f>
        <v>2561402011001</v>
      </c>
      <c r="C1901" s="8" t="s">
        <v>8</v>
      </c>
      <c r="D1901" s="9">
        <v>0</v>
      </c>
      <c r="E1901" s="8">
        <v>67</v>
      </c>
    </row>
    <row r="1902" s="3" customFormat="1" ht="18.75" spans="1:5">
      <c r="A1902" s="8" t="str">
        <f t="shared" si="34"/>
        <v>250011</v>
      </c>
      <c r="B1902" s="8" t="str">
        <f>"2561402011004"</f>
        <v>2561402011004</v>
      </c>
      <c r="C1902" s="8" t="s">
        <v>8</v>
      </c>
      <c r="D1902" s="9">
        <v>0</v>
      </c>
      <c r="E1902" s="8">
        <v>67</v>
      </c>
    </row>
    <row r="1903" s="3" customFormat="1" ht="18.75" spans="1:5">
      <c r="A1903" s="8" t="str">
        <f t="shared" si="34"/>
        <v>250011</v>
      </c>
      <c r="B1903" s="8" t="str">
        <f>"2561402011006"</f>
        <v>2561402011006</v>
      </c>
      <c r="C1903" s="8" t="s">
        <v>8</v>
      </c>
      <c r="D1903" s="9">
        <v>0</v>
      </c>
      <c r="E1903" s="8">
        <v>67</v>
      </c>
    </row>
    <row r="1904" s="3" customFormat="1" ht="18.75" spans="1:5">
      <c r="A1904" s="8" t="str">
        <f t="shared" si="34"/>
        <v>250011</v>
      </c>
      <c r="B1904" s="8" t="str">
        <f>"2561402011013"</f>
        <v>2561402011013</v>
      </c>
      <c r="C1904" s="8" t="s">
        <v>8</v>
      </c>
      <c r="D1904" s="9">
        <v>0</v>
      </c>
      <c r="E1904" s="8">
        <v>67</v>
      </c>
    </row>
    <row r="1905" s="3" customFormat="1" ht="18.75" spans="1:5">
      <c r="A1905" s="8" t="str">
        <f t="shared" si="34"/>
        <v>250011</v>
      </c>
      <c r="B1905" s="8" t="str">
        <f>"2561402011017"</f>
        <v>2561402011017</v>
      </c>
      <c r="C1905" s="8" t="s">
        <v>8</v>
      </c>
      <c r="D1905" s="9">
        <v>0</v>
      </c>
      <c r="E1905" s="8">
        <v>67</v>
      </c>
    </row>
    <row r="1906" s="3" customFormat="1" ht="18.75" spans="1:5">
      <c r="A1906" s="8" t="str">
        <f t="shared" ref="A1906:A1969" si="35">"250012"</f>
        <v>250012</v>
      </c>
      <c r="B1906" s="8" t="str">
        <f>"2561402012216"</f>
        <v>2561402012216</v>
      </c>
      <c r="C1906" s="8" t="s">
        <v>8</v>
      </c>
      <c r="D1906" s="9">
        <v>70.86</v>
      </c>
      <c r="E1906" s="8">
        <v>1</v>
      </c>
    </row>
    <row r="1907" s="3" customFormat="1" ht="18.75" spans="1:5">
      <c r="A1907" s="8" t="str">
        <f t="shared" si="35"/>
        <v>250012</v>
      </c>
      <c r="B1907" s="8" t="str">
        <f>"2561402012406"</f>
        <v>2561402012406</v>
      </c>
      <c r="C1907" s="8" t="s">
        <v>8</v>
      </c>
      <c r="D1907" s="9">
        <v>70.46</v>
      </c>
      <c r="E1907" s="8">
        <v>2</v>
      </c>
    </row>
    <row r="1908" s="3" customFormat="1" ht="18.75" spans="1:5">
      <c r="A1908" s="8" t="str">
        <f t="shared" si="35"/>
        <v>250012</v>
      </c>
      <c r="B1908" s="8" t="str">
        <f>"2561402011021"</f>
        <v>2561402011021</v>
      </c>
      <c r="C1908" s="8" t="s">
        <v>8</v>
      </c>
      <c r="D1908" s="9">
        <v>69.43</v>
      </c>
      <c r="E1908" s="8">
        <v>3</v>
      </c>
    </row>
    <row r="1909" s="3" customFormat="1" ht="18.75" spans="1:5">
      <c r="A1909" s="8" t="str">
        <f t="shared" si="35"/>
        <v>250012</v>
      </c>
      <c r="B1909" s="8" t="str">
        <f>"2561402011825"</f>
        <v>2561402011825</v>
      </c>
      <c r="C1909" s="8" t="s">
        <v>8</v>
      </c>
      <c r="D1909" s="9">
        <v>68.9</v>
      </c>
      <c r="E1909" s="8">
        <v>4</v>
      </c>
    </row>
    <row r="1910" s="3" customFormat="1" ht="18.75" spans="1:5">
      <c r="A1910" s="8" t="str">
        <f t="shared" si="35"/>
        <v>250012</v>
      </c>
      <c r="B1910" s="8" t="str">
        <f>"2561402011427"</f>
        <v>2561402011427</v>
      </c>
      <c r="C1910" s="8" t="s">
        <v>8</v>
      </c>
      <c r="D1910" s="9">
        <v>68.85</v>
      </c>
      <c r="E1910" s="8">
        <v>5</v>
      </c>
    </row>
    <row r="1911" s="3" customFormat="1" ht="18.75" spans="1:5">
      <c r="A1911" s="8" t="str">
        <f t="shared" si="35"/>
        <v>250012</v>
      </c>
      <c r="B1911" s="8" t="str">
        <f>"2561402012214"</f>
        <v>2561402012214</v>
      </c>
      <c r="C1911" s="8" t="s">
        <v>8</v>
      </c>
      <c r="D1911" s="9">
        <v>68.12</v>
      </c>
      <c r="E1911" s="8">
        <v>6</v>
      </c>
    </row>
    <row r="1912" s="3" customFormat="1" ht="18.75" spans="1:5">
      <c r="A1912" s="8" t="str">
        <f t="shared" si="35"/>
        <v>250012</v>
      </c>
      <c r="B1912" s="8" t="str">
        <f>"2561402012113"</f>
        <v>2561402012113</v>
      </c>
      <c r="C1912" s="8" t="s">
        <v>8</v>
      </c>
      <c r="D1912" s="9">
        <v>67.9</v>
      </c>
      <c r="E1912" s="8">
        <v>7</v>
      </c>
    </row>
    <row r="1913" s="3" customFormat="1" ht="18.75" spans="1:5">
      <c r="A1913" s="8" t="str">
        <f t="shared" si="35"/>
        <v>250012</v>
      </c>
      <c r="B1913" s="8" t="str">
        <f>"2561402011716"</f>
        <v>2561402011716</v>
      </c>
      <c r="C1913" s="8" t="s">
        <v>8</v>
      </c>
      <c r="D1913" s="9">
        <v>67.74</v>
      </c>
      <c r="E1913" s="8">
        <v>8</v>
      </c>
    </row>
    <row r="1914" s="3" customFormat="1" ht="18.75" spans="1:5">
      <c r="A1914" s="8" t="str">
        <f t="shared" si="35"/>
        <v>250012</v>
      </c>
      <c r="B1914" s="8" t="str">
        <f>"2561402011728"</f>
        <v>2561402011728</v>
      </c>
      <c r="C1914" s="8" t="s">
        <v>8</v>
      </c>
      <c r="D1914" s="9">
        <v>67.08</v>
      </c>
      <c r="E1914" s="8">
        <v>9</v>
      </c>
    </row>
    <row r="1915" s="3" customFormat="1" ht="18.75" spans="1:5">
      <c r="A1915" s="8" t="str">
        <f t="shared" si="35"/>
        <v>250012</v>
      </c>
      <c r="B1915" s="8" t="str">
        <f>"2561402011902"</f>
        <v>2561402011902</v>
      </c>
      <c r="C1915" s="8" t="s">
        <v>8</v>
      </c>
      <c r="D1915" s="9">
        <v>66.99</v>
      </c>
      <c r="E1915" s="8">
        <v>10</v>
      </c>
    </row>
    <row r="1916" s="3" customFormat="1" ht="18.75" spans="1:5">
      <c r="A1916" s="8" t="str">
        <f t="shared" si="35"/>
        <v>250012</v>
      </c>
      <c r="B1916" s="8" t="str">
        <f>"2561402012022"</f>
        <v>2561402012022</v>
      </c>
      <c r="C1916" s="8" t="s">
        <v>8</v>
      </c>
      <c r="D1916" s="9">
        <v>66.76</v>
      </c>
      <c r="E1916" s="8">
        <v>11</v>
      </c>
    </row>
    <row r="1917" s="3" customFormat="1" ht="18.75" spans="1:5">
      <c r="A1917" s="8" t="str">
        <f t="shared" si="35"/>
        <v>250012</v>
      </c>
      <c r="B1917" s="8" t="str">
        <f>"2561402011517"</f>
        <v>2561402011517</v>
      </c>
      <c r="C1917" s="8" t="s">
        <v>8</v>
      </c>
      <c r="D1917" s="9">
        <v>66.63</v>
      </c>
      <c r="E1917" s="8">
        <v>12</v>
      </c>
    </row>
    <row r="1918" s="3" customFormat="1" ht="18.75" spans="1:5">
      <c r="A1918" s="8" t="str">
        <f t="shared" si="35"/>
        <v>250012</v>
      </c>
      <c r="B1918" s="8" t="str">
        <f>"2561402012407"</f>
        <v>2561402012407</v>
      </c>
      <c r="C1918" s="8" t="s">
        <v>8</v>
      </c>
      <c r="D1918" s="9">
        <v>66.51</v>
      </c>
      <c r="E1918" s="8">
        <v>13</v>
      </c>
    </row>
    <row r="1919" s="3" customFormat="1" ht="18.75" spans="1:5">
      <c r="A1919" s="8" t="str">
        <f t="shared" si="35"/>
        <v>250012</v>
      </c>
      <c r="B1919" s="8" t="str">
        <f>"2561402012112"</f>
        <v>2561402012112</v>
      </c>
      <c r="C1919" s="8" t="s">
        <v>8</v>
      </c>
      <c r="D1919" s="9">
        <v>66.48</v>
      </c>
      <c r="E1919" s="8">
        <v>14</v>
      </c>
    </row>
    <row r="1920" s="3" customFormat="1" ht="18.75" spans="1:5">
      <c r="A1920" s="8" t="str">
        <f t="shared" si="35"/>
        <v>250012</v>
      </c>
      <c r="B1920" s="8" t="str">
        <f>"2561402012229"</f>
        <v>2561402012229</v>
      </c>
      <c r="C1920" s="8" t="s">
        <v>8</v>
      </c>
      <c r="D1920" s="9">
        <v>66.41</v>
      </c>
      <c r="E1920" s="8">
        <v>15</v>
      </c>
    </row>
    <row r="1921" s="3" customFormat="1" ht="18.75" spans="1:5">
      <c r="A1921" s="8" t="str">
        <f t="shared" si="35"/>
        <v>250012</v>
      </c>
      <c r="B1921" s="8" t="str">
        <f>"2561402012117"</f>
        <v>2561402012117</v>
      </c>
      <c r="C1921" s="8" t="s">
        <v>8</v>
      </c>
      <c r="D1921" s="9">
        <v>65.12</v>
      </c>
      <c r="E1921" s="8">
        <v>16</v>
      </c>
    </row>
    <row r="1922" s="3" customFormat="1" ht="18.75" spans="1:5">
      <c r="A1922" s="8" t="str">
        <f t="shared" si="35"/>
        <v>250012</v>
      </c>
      <c r="B1922" s="8" t="str">
        <f>"2561402012301"</f>
        <v>2561402012301</v>
      </c>
      <c r="C1922" s="8" t="s">
        <v>8</v>
      </c>
      <c r="D1922" s="9">
        <v>64.8</v>
      </c>
      <c r="E1922" s="8">
        <v>17</v>
      </c>
    </row>
    <row r="1923" s="3" customFormat="1" ht="18.75" spans="1:5">
      <c r="A1923" s="8" t="str">
        <f t="shared" si="35"/>
        <v>250012</v>
      </c>
      <c r="B1923" s="8" t="str">
        <f>"2561402011402"</f>
        <v>2561402011402</v>
      </c>
      <c r="C1923" s="8" t="s">
        <v>8</v>
      </c>
      <c r="D1923" s="9">
        <v>64.48</v>
      </c>
      <c r="E1923" s="8">
        <v>18</v>
      </c>
    </row>
    <row r="1924" s="3" customFormat="1" ht="18.75" spans="1:5">
      <c r="A1924" s="8" t="str">
        <f t="shared" si="35"/>
        <v>250012</v>
      </c>
      <c r="B1924" s="8" t="str">
        <f>"2561402011313"</f>
        <v>2561402011313</v>
      </c>
      <c r="C1924" s="8" t="s">
        <v>8</v>
      </c>
      <c r="D1924" s="9">
        <v>64.27</v>
      </c>
      <c r="E1924" s="8">
        <v>19</v>
      </c>
    </row>
    <row r="1925" s="3" customFormat="1" ht="18.75" spans="1:5">
      <c r="A1925" s="8" t="str">
        <f t="shared" si="35"/>
        <v>250012</v>
      </c>
      <c r="B1925" s="8" t="str">
        <f>"2561402011104"</f>
        <v>2561402011104</v>
      </c>
      <c r="C1925" s="8" t="s">
        <v>8</v>
      </c>
      <c r="D1925" s="9">
        <v>64.04</v>
      </c>
      <c r="E1925" s="8">
        <v>20</v>
      </c>
    </row>
    <row r="1926" s="3" customFormat="1" ht="18.75" spans="1:5">
      <c r="A1926" s="8" t="str">
        <f t="shared" si="35"/>
        <v>250012</v>
      </c>
      <c r="B1926" s="8" t="str">
        <f>"2561402011430"</f>
        <v>2561402011430</v>
      </c>
      <c r="C1926" s="8" t="s">
        <v>8</v>
      </c>
      <c r="D1926" s="9">
        <v>63.99</v>
      </c>
      <c r="E1926" s="8">
        <v>21</v>
      </c>
    </row>
    <row r="1927" s="3" customFormat="1" ht="18.75" spans="1:5">
      <c r="A1927" s="8" t="str">
        <f t="shared" si="35"/>
        <v>250012</v>
      </c>
      <c r="B1927" s="8" t="str">
        <f>"2561402012123"</f>
        <v>2561402012123</v>
      </c>
      <c r="C1927" s="8" t="s">
        <v>8</v>
      </c>
      <c r="D1927" s="9">
        <v>63.98</v>
      </c>
      <c r="E1927" s="8">
        <v>22</v>
      </c>
    </row>
    <row r="1928" s="3" customFormat="1" ht="18.75" spans="1:5">
      <c r="A1928" s="8" t="str">
        <f t="shared" si="35"/>
        <v>250012</v>
      </c>
      <c r="B1928" s="8" t="str">
        <f>"2561402011930"</f>
        <v>2561402011930</v>
      </c>
      <c r="C1928" s="8" t="s">
        <v>8</v>
      </c>
      <c r="D1928" s="9">
        <v>63.96</v>
      </c>
      <c r="E1928" s="8">
        <v>23</v>
      </c>
    </row>
    <row r="1929" s="3" customFormat="1" ht="18.75" spans="1:5">
      <c r="A1929" s="8" t="str">
        <f t="shared" si="35"/>
        <v>250012</v>
      </c>
      <c r="B1929" s="8" t="str">
        <f>"2561402012302"</f>
        <v>2561402012302</v>
      </c>
      <c r="C1929" s="8" t="s">
        <v>8</v>
      </c>
      <c r="D1929" s="9">
        <v>63.94</v>
      </c>
      <c r="E1929" s="8">
        <v>24</v>
      </c>
    </row>
    <row r="1930" s="3" customFormat="1" ht="18.75" spans="1:5">
      <c r="A1930" s="8" t="str">
        <f t="shared" si="35"/>
        <v>250012</v>
      </c>
      <c r="B1930" s="8" t="str">
        <f>"2561402011214"</f>
        <v>2561402011214</v>
      </c>
      <c r="C1930" s="8" t="s">
        <v>8</v>
      </c>
      <c r="D1930" s="9">
        <v>63.9</v>
      </c>
      <c r="E1930" s="8">
        <v>25</v>
      </c>
    </row>
    <row r="1931" s="3" customFormat="1" ht="18.75" spans="1:5">
      <c r="A1931" s="8" t="str">
        <f t="shared" si="35"/>
        <v>250012</v>
      </c>
      <c r="B1931" s="8" t="str">
        <f>"2561402011325"</f>
        <v>2561402011325</v>
      </c>
      <c r="C1931" s="8" t="s">
        <v>8</v>
      </c>
      <c r="D1931" s="9">
        <v>63.89</v>
      </c>
      <c r="E1931" s="8">
        <v>26</v>
      </c>
    </row>
    <row r="1932" s="3" customFormat="1" ht="18.75" spans="1:5">
      <c r="A1932" s="8" t="str">
        <f t="shared" si="35"/>
        <v>250012</v>
      </c>
      <c r="B1932" s="8" t="str">
        <f>"2561402011023"</f>
        <v>2561402011023</v>
      </c>
      <c r="C1932" s="8" t="s">
        <v>8</v>
      </c>
      <c r="D1932" s="9">
        <v>63.77</v>
      </c>
      <c r="E1932" s="8">
        <v>27</v>
      </c>
    </row>
    <row r="1933" s="3" customFormat="1" ht="18.75" spans="1:5">
      <c r="A1933" s="8" t="str">
        <f t="shared" si="35"/>
        <v>250012</v>
      </c>
      <c r="B1933" s="8" t="str">
        <f>"2561402011526"</f>
        <v>2561402011526</v>
      </c>
      <c r="C1933" s="8" t="s">
        <v>8</v>
      </c>
      <c r="D1933" s="9">
        <v>63.63</v>
      </c>
      <c r="E1933" s="8">
        <v>28</v>
      </c>
    </row>
    <row r="1934" s="3" customFormat="1" ht="18.75" spans="1:5">
      <c r="A1934" s="8" t="str">
        <f t="shared" si="35"/>
        <v>250012</v>
      </c>
      <c r="B1934" s="8" t="str">
        <f>"2561402011323"</f>
        <v>2561402011323</v>
      </c>
      <c r="C1934" s="8" t="s">
        <v>8</v>
      </c>
      <c r="D1934" s="9">
        <v>63.6</v>
      </c>
      <c r="E1934" s="8">
        <v>29</v>
      </c>
    </row>
    <row r="1935" s="3" customFormat="1" ht="18.75" spans="1:5">
      <c r="A1935" s="8" t="str">
        <f t="shared" si="35"/>
        <v>250012</v>
      </c>
      <c r="B1935" s="8" t="str">
        <f>"2561402012423"</f>
        <v>2561402012423</v>
      </c>
      <c r="C1935" s="8" t="s">
        <v>8</v>
      </c>
      <c r="D1935" s="9">
        <v>63.58</v>
      </c>
      <c r="E1935" s="8">
        <v>30</v>
      </c>
    </row>
    <row r="1936" s="3" customFormat="1" ht="18.75" spans="1:5">
      <c r="A1936" s="8" t="str">
        <f t="shared" si="35"/>
        <v>250012</v>
      </c>
      <c r="B1936" s="8" t="str">
        <f>"2561402012427"</f>
        <v>2561402012427</v>
      </c>
      <c r="C1936" s="8" t="s">
        <v>8</v>
      </c>
      <c r="D1936" s="9">
        <v>63.58</v>
      </c>
      <c r="E1936" s="8">
        <v>30</v>
      </c>
    </row>
    <row r="1937" s="3" customFormat="1" ht="18.75" spans="1:5">
      <c r="A1937" s="8" t="str">
        <f t="shared" si="35"/>
        <v>250012</v>
      </c>
      <c r="B1937" s="8" t="str">
        <f>"2561402011029"</f>
        <v>2561402011029</v>
      </c>
      <c r="C1937" s="8" t="s">
        <v>8</v>
      </c>
      <c r="D1937" s="9">
        <v>63.53</v>
      </c>
      <c r="E1937" s="8">
        <v>32</v>
      </c>
    </row>
    <row r="1938" s="3" customFormat="1" ht="18.75" spans="1:5">
      <c r="A1938" s="8" t="str">
        <f t="shared" si="35"/>
        <v>250012</v>
      </c>
      <c r="B1938" s="8" t="str">
        <f>"2561402012408"</f>
        <v>2561402012408</v>
      </c>
      <c r="C1938" s="8" t="s">
        <v>8</v>
      </c>
      <c r="D1938" s="9">
        <v>63.49</v>
      </c>
      <c r="E1938" s="8">
        <v>33</v>
      </c>
    </row>
    <row r="1939" s="3" customFormat="1" ht="18.75" spans="1:5">
      <c r="A1939" s="8" t="str">
        <f t="shared" si="35"/>
        <v>250012</v>
      </c>
      <c r="B1939" s="8" t="str">
        <f>"2561402012008"</f>
        <v>2561402012008</v>
      </c>
      <c r="C1939" s="8" t="s">
        <v>8</v>
      </c>
      <c r="D1939" s="9">
        <v>63.41</v>
      </c>
      <c r="E1939" s="8">
        <v>34</v>
      </c>
    </row>
    <row r="1940" s="3" customFormat="1" ht="18.75" spans="1:5">
      <c r="A1940" s="8" t="str">
        <f t="shared" si="35"/>
        <v>250012</v>
      </c>
      <c r="B1940" s="8" t="str">
        <f>"2561402011906"</f>
        <v>2561402011906</v>
      </c>
      <c r="C1940" s="8" t="s">
        <v>8</v>
      </c>
      <c r="D1940" s="9">
        <v>63.26</v>
      </c>
      <c r="E1940" s="8">
        <v>35</v>
      </c>
    </row>
    <row r="1941" s="3" customFormat="1" ht="18.75" spans="1:5">
      <c r="A1941" s="8" t="str">
        <f t="shared" si="35"/>
        <v>250012</v>
      </c>
      <c r="B1941" s="8" t="str">
        <f>"2561402011113"</f>
        <v>2561402011113</v>
      </c>
      <c r="C1941" s="8" t="s">
        <v>8</v>
      </c>
      <c r="D1941" s="9">
        <v>63.17</v>
      </c>
      <c r="E1941" s="8">
        <v>36</v>
      </c>
    </row>
    <row r="1942" s="3" customFormat="1" ht="18.75" spans="1:5">
      <c r="A1942" s="8" t="str">
        <f t="shared" si="35"/>
        <v>250012</v>
      </c>
      <c r="B1942" s="8" t="str">
        <f>"2561402011817"</f>
        <v>2561402011817</v>
      </c>
      <c r="C1942" s="8" t="s">
        <v>8</v>
      </c>
      <c r="D1942" s="9">
        <v>63.05</v>
      </c>
      <c r="E1942" s="8">
        <v>37</v>
      </c>
    </row>
    <row r="1943" s="3" customFormat="1" ht="18.75" spans="1:5">
      <c r="A1943" s="8" t="str">
        <f t="shared" si="35"/>
        <v>250012</v>
      </c>
      <c r="B1943" s="8" t="str">
        <f>"2561402012114"</f>
        <v>2561402012114</v>
      </c>
      <c r="C1943" s="8" t="s">
        <v>8</v>
      </c>
      <c r="D1943" s="9">
        <v>62.95</v>
      </c>
      <c r="E1943" s="8">
        <v>38</v>
      </c>
    </row>
    <row r="1944" s="3" customFormat="1" ht="18.75" spans="1:5">
      <c r="A1944" s="8" t="str">
        <f t="shared" si="35"/>
        <v>250012</v>
      </c>
      <c r="B1944" s="8" t="str">
        <f>"2561402011605"</f>
        <v>2561402011605</v>
      </c>
      <c r="C1944" s="8" t="s">
        <v>8</v>
      </c>
      <c r="D1944" s="9">
        <v>62.83</v>
      </c>
      <c r="E1944" s="8">
        <v>39</v>
      </c>
    </row>
    <row r="1945" s="3" customFormat="1" ht="18.75" spans="1:5">
      <c r="A1945" s="8" t="str">
        <f t="shared" si="35"/>
        <v>250012</v>
      </c>
      <c r="B1945" s="8" t="str">
        <f>"2561402011623"</f>
        <v>2561402011623</v>
      </c>
      <c r="C1945" s="8" t="s">
        <v>8</v>
      </c>
      <c r="D1945" s="9">
        <v>62.73</v>
      </c>
      <c r="E1945" s="8">
        <v>40</v>
      </c>
    </row>
    <row r="1946" s="3" customFormat="1" ht="18.75" spans="1:5">
      <c r="A1946" s="8" t="str">
        <f t="shared" si="35"/>
        <v>250012</v>
      </c>
      <c r="B1946" s="8" t="str">
        <f>"2561402012413"</f>
        <v>2561402012413</v>
      </c>
      <c r="C1946" s="8" t="s">
        <v>8</v>
      </c>
      <c r="D1946" s="9">
        <v>62.59</v>
      </c>
      <c r="E1946" s="8">
        <v>41</v>
      </c>
    </row>
    <row r="1947" s="3" customFormat="1" ht="18.75" spans="1:5">
      <c r="A1947" s="8" t="str">
        <f t="shared" si="35"/>
        <v>250012</v>
      </c>
      <c r="B1947" s="8" t="str">
        <f>"2561402011806"</f>
        <v>2561402011806</v>
      </c>
      <c r="C1947" s="8" t="s">
        <v>8</v>
      </c>
      <c r="D1947" s="9">
        <v>62.31</v>
      </c>
      <c r="E1947" s="8">
        <v>42</v>
      </c>
    </row>
    <row r="1948" s="3" customFormat="1" ht="18.75" spans="1:5">
      <c r="A1948" s="8" t="str">
        <f t="shared" si="35"/>
        <v>250012</v>
      </c>
      <c r="B1948" s="8" t="str">
        <f>"2561402011101"</f>
        <v>2561402011101</v>
      </c>
      <c r="C1948" s="8" t="s">
        <v>8</v>
      </c>
      <c r="D1948" s="9">
        <v>62.25</v>
      </c>
      <c r="E1948" s="8">
        <v>43</v>
      </c>
    </row>
    <row r="1949" s="3" customFormat="1" ht="18.75" spans="1:5">
      <c r="A1949" s="8" t="str">
        <f t="shared" si="35"/>
        <v>250012</v>
      </c>
      <c r="B1949" s="8" t="str">
        <f>"2561402011802"</f>
        <v>2561402011802</v>
      </c>
      <c r="C1949" s="8" t="s">
        <v>8</v>
      </c>
      <c r="D1949" s="9">
        <v>62.25</v>
      </c>
      <c r="E1949" s="8">
        <v>43</v>
      </c>
    </row>
    <row r="1950" s="3" customFormat="1" ht="18.75" spans="1:5">
      <c r="A1950" s="8" t="str">
        <f t="shared" si="35"/>
        <v>250012</v>
      </c>
      <c r="B1950" s="8" t="str">
        <f>"2561402012325"</f>
        <v>2561402012325</v>
      </c>
      <c r="C1950" s="8" t="s">
        <v>8</v>
      </c>
      <c r="D1950" s="9">
        <v>62.22</v>
      </c>
      <c r="E1950" s="8">
        <v>45</v>
      </c>
    </row>
    <row r="1951" s="3" customFormat="1" ht="18.75" spans="1:5">
      <c r="A1951" s="8" t="str">
        <f t="shared" si="35"/>
        <v>250012</v>
      </c>
      <c r="B1951" s="8" t="str">
        <f>"2561402011730"</f>
        <v>2561402011730</v>
      </c>
      <c r="C1951" s="8" t="s">
        <v>8</v>
      </c>
      <c r="D1951" s="9">
        <v>62.19</v>
      </c>
      <c r="E1951" s="8">
        <v>46</v>
      </c>
    </row>
    <row r="1952" s="3" customFormat="1" ht="18.75" spans="1:5">
      <c r="A1952" s="8" t="str">
        <f t="shared" si="35"/>
        <v>250012</v>
      </c>
      <c r="B1952" s="8" t="str">
        <f>"2561402011426"</f>
        <v>2561402011426</v>
      </c>
      <c r="C1952" s="8" t="s">
        <v>8</v>
      </c>
      <c r="D1952" s="9">
        <v>62.17</v>
      </c>
      <c r="E1952" s="8">
        <v>47</v>
      </c>
    </row>
    <row r="1953" s="3" customFormat="1" ht="18.75" spans="1:5">
      <c r="A1953" s="8" t="str">
        <f t="shared" si="35"/>
        <v>250012</v>
      </c>
      <c r="B1953" s="8" t="str">
        <f>"2561402011026"</f>
        <v>2561402011026</v>
      </c>
      <c r="C1953" s="8" t="s">
        <v>8</v>
      </c>
      <c r="D1953" s="9">
        <v>62.15</v>
      </c>
      <c r="E1953" s="8">
        <v>48</v>
      </c>
    </row>
    <row r="1954" s="3" customFormat="1" ht="18.75" spans="1:5">
      <c r="A1954" s="8" t="str">
        <f t="shared" si="35"/>
        <v>250012</v>
      </c>
      <c r="B1954" s="8" t="str">
        <f>"2561402011717"</f>
        <v>2561402011717</v>
      </c>
      <c r="C1954" s="8" t="s">
        <v>8</v>
      </c>
      <c r="D1954" s="9">
        <v>62.15</v>
      </c>
      <c r="E1954" s="8">
        <v>48</v>
      </c>
    </row>
    <row r="1955" s="3" customFormat="1" ht="18.75" spans="1:5">
      <c r="A1955" s="8" t="str">
        <f t="shared" si="35"/>
        <v>250012</v>
      </c>
      <c r="B1955" s="8" t="str">
        <f>"2561402011508"</f>
        <v>2561402011508</v>
      </c>
      <c r="C1955" s="8" t="s">
        <v>8</v>
      </c>
      <c r="D1955" s="9">
        <v>62.1</v>
      </c>
      <c r="E1955" s="8">
        <v>50</v>
      </c>
    </row>
    <row r="1956" s="3" customFormat="1" ht="18.75" spans="1:5">
      <c r="A1956" s="8" t="str">
        <f t="shared" si="35"/>
        <v>250012</v>
      </c>
      <c r="B1956" s="8" t="str">
        <f>"2561402012328"</f>
        <v>2561402012328</v>
      </c>
      <c r="C1956" s="8" t="s">
        <v>8</v>
      </c>
      <c r="D1956" s="9">
        <v>62.08</v>
      </c>
      <c r="E1956" s="8">
        <v>51</v>
      </c>
    </row>
    <row r="1957" s="3" customFormat="1" ht="18.75" spans="1:5">
      <c r="A1957" s="8" t="str">
        <f t="shared" si="35"/>
        <v>250012</v>
      </c>
      <c r="B1957" s="8" t="str">
        <f>"2561402012421"</f>
        <v>2561402012421</v>
      </c>
      <c r="C1957" s="8" t="s">
        <v>8</v>
      </c>
      <c r="D1957" s="9">
        <v>62.03</v>
      </c>
      <c r="E1957" s="8">
        <v>52</v>
      </c>
    </row>
    <row r="1958" s="3" customFormat="1" ht="18.75" spans="1:5">
      <c r="A1958" s="8" t="str">
        <f t="shared" si="35"/>
        <v>250012</v>
      </c>
      <c r="B1958" s="8" t="str">
        <f>"2561402012311"</f>
        <v>2561402012311</v>
      </c>
      <c r="C1958" s="8" t="s">
        <v>8</v>
      </c>
      <c r="D1958" s="9">
        <v>61.9</v>
      </c>
      <c r="E1958" s="8">
        <v>53</v>
      </c>
    </row>
    <row r="1959" s="3" customFormat="1" ht="18.75" spans="1:5">
      <c r="A1959" s="8" t="str">
        <f t="shared" si="35"/>
        <v>250012</v>
      </c>
      <c r="B1959" s="8" t="str">
        <f>"2561402011530"</f>
        <v>2561402011530</v>
      </c>
      <c r="C1959" s="8" t="s">
        <v>8</v>
      </c>
      <c r="D1959" s="9">
        <v>61.84</v>
      </c>
      <c r="E1959" s="8">
        <v>54</v>
      </c>
    </row>
    <row r="1960" s="3" customFormat="1" ht="18.75" spans="1:5">
      <c r="A1960" s="8" t="str">
        <f t="shared" si="35"/>
        <v>250012</v>
      </c>
      <c r="B1960" s="8" t="str">
        <f>"2561402012218"</f>
        <v>2561402012218</v>
      </c>
      <c r="C1960" s="8" t="s">
        <v>8</v>
      </c>
      <c r="D1960" s="9">
        <v>61.75</v>
      </c>
      <c r="E1960" s="8">
        <v>55</v>
      </c>
    </row>
    <row r="1961" s="3" customFormat="1" ht="18.75" spans="1:5">
      <c r="A1961" s="8" t="str">
        <f t="shared" si="35"/>
        <v>250012</v>
      </c>
      <c r="B1961" s="8" t="str">
        <f>"2561402011102"</f>
        <v>2561402011102</v>
      </c>
      <c r="C1961" s="8" t="s">
        <v>8</v>
      </c>
      <c r="D1961" s="9">
        <v>61.62</v>
      </c>
      <c r="E1961" s="8">
        <v>56</v>
      </c>
    </row>
    <row r="1962" s="3" customFormat="1" ht="18.75" spans="1:5">
      <c r="A1962" s="8" t="str">
        <f t="shared" si="35"/>
        <v>250012</v>
      </c>
      <c r="B1962" s="8" t="str">
        <f>"2561402011718"</f>
        <v>2561402011718</v>
      </c>
      <c r="C1962" s="8" t="s">
        <v>8</v>
      </c>
      <c r="D1962" s="9">
        <v>61.61</v>
      </c>
      <c r="E1962" s="8">
        <v>57</v>
      </c>
    </row>
    <row r="1963" s="3" customFormat="1" ht="18.75" spans="1:5">
      <c r="A1963" s="8" t="str">
        <f t="shared" si="35"/>
        <v>250012</v>
      </c>
      <c r="B1963" s="8" t="str">
        <f>"2561402011904"</f>
        <v>2561402011904</v>
      </c>
      <c r="C1963" s="8" t="s">
        <v>8</v>
      </c>
      <c r="D1963" s="9">
        <v>61.58</v>
      </c>
      <c r="E1963" s="8">
        <v>58</v>
      </c>
    </row>
    <row r="1964" s="3" customFormat="1" ht="18.75" spans="1:5">
      <c r="A1964" s="8" t="str">
        <f t="shared" si="35"/>
        <v>250012</v>
      </c>
      <c r="B1964" s="8" t="str">
        <f>"2561402011419"</f>
        <v>2561402011419</v>
      </c>
      <c r="C1964" s="8" t="s">
        <v>8</v>
      </c>
      <c r="D1964" s="9">
        <v>61.44</v>
      </c>
      <c r="E1964" s="8">
        <v>59</v>
      </c>
    </row>
    <row r="1965" s="3" customFormat="1" ht="18.75" spans="1:5">
      <c r="A1965" s="8" t="str">
        <f t="shared" si="35"/>
        <v>250012</v>
      </c>
      <c r="B1965" s="8" t="str">
        <f>"2561402011103"</f>
        <v>2561402011103</v>
      </c>
      <c r="C1965" s="8" t="s">
        <v>8</v>
      </c>
      <c r="D1965" s="9">
        <v>61.12</v>
      </c>
      <c r="E1965" s="8">
        <v>60</v>
      </c>
    </row>
    <row r="1966" s="3" customFormat="1" ht="18.75" spans="1:5">
      <c r="A1966" s="8" t="str">
        <f t="shared" si="35"/>
        <v>250012</v>
      </c>
      <c r="B1966" s="8" t="str">
        <f>"2561402012424"</f>
        <v>2561402012424</v>
      </c>
      <c r="C1966" s="8" t="s">
        <v>8</v>
      </c>
      <c r="D1966" s="9">
        <v>60.93</v>
      </c>
      <c r="E1966" s="8">
        <v>61</v>
      </c>
    </row>
    <row r="1967" s="3" customFormat="1" ht="18.75" spans="1:5">
      <c r="A1967" s="8" t="str">
        <f t="shared" si="35"/>
        <v>250012</v>
      </c>
      <c r="B1967" s="8" t="str">
        <f>"2561402012124"</f>
        <v>2561402012124</v>
      </c>
      <c r="C1967" s="8" t="s">
        <v>8</v>
      </c>
      <c r="D1967" s="9">
        <v>60.85</v>
      </c>
      <c r="E1967" s="8">
        <v>62</v>
      </c>
    </row>
    <row r="1968" s="3" customFormat="1" ht="18.75" spans="1:5">
      <c r="A1968" s="8" t="str">
        <f t="shared" si="35"/>
        <v>250012</v>
      </c>
      <c r="B1968" s="8" t="str">
        <f>"2561402011428"</f>
        <v>2561402011428</v>
      </c>
      <c r="C1968" s="8" t="s">
        <v>8</v>
      </c>
      <c r="D1968" s="9">
        <v>60.64</v>
      </c>
      <c r="E1968" s="8">
        <v>63</v>
      </c>
    </row>
    <row r="1969" s="3" customFormat="1" ht="18.75" spans="1:5">
      <c r="A1969" s="8" t="str">
        <f t="shared" si="35"/>
        <v>250012</v>
      </c>
      <c r="B1969" s="8" t="str">
        <f>"2561402012314"</f>
        <v>2561402012314</v>
      </c>
      <c r="C1969" s="8" t="s">
        <v>8</v>
      </c>
      <c r="D1969" s="9">
        <v>60.63</v>
      </c>
      <c r="E1969" s="8">
        <v>64</v>
      </c>
    </row>
    <row r="1970" s="3" customFormat="1" ht="18.75" spans="1:5">
      <c r="A1970" s="8" t="str">
        <f t="shared" ref="A1970:A2033" si="36">"250012"</f>
        <v>250012</v>
      </c>
      <c r="B1970" s="8" t="str">
        <f>"2561402012102"</f>
        <v>2561402012102</v>
      </c>
      <c r="C1970" s="8" t="s">
        <v>8</v>
      </c>
      <c r="D1970" s="9">
        <v>60.55</v>
      </c>
      <c r="E1970" s="8">
        <v>65</v>
      </c>
    </row>
    <row r="1971" s="3" customFormat="1" ht="18.75" spans="1:5">
      <c r="A1971" s="8" t="str">
        <f t="shared" si="36"/>
        <v>250012</v>
      </c>
      <c r="B1971" s="8" t="str">
        <f>"2561402011827"</f>
        <v>2561402011827</v>
      </c>
      <c r="C1971" s="8" t="s">
        <v>8</v>
      </c>
      <c r="D1971" s="9">
        <v>60.5</v>
      </c>
      <c r="E1971" s="8">
        <v>66</v>
      </c>
    </row>
    <row r="1972" s="3" customFormat="1" ht="18.75" spans="1:5">
      <c r="A1972" s="8" t="str">
        <f t="shared" si="36"/>
        <v>250012</v>
      </c>
      <c r="B1972" s="8" t="str">
        <f>"2561402012109"</f>
        <v>2561402012109</v>
      </c>
      <c r="C1972" s="8" t="s">
        <v>8</v>
      </c>
      <c r="D1972" s="9">
        <v>60.39</v>
      </c>
      <c r="E1972" s="8">
        <v>67</v>
      </c>
    </row>
    <row r="1973" s="3" customFormat="1" ht="18.75" spans="1:5">
      <c r="A1973" s="8" t="str">
        <f t="shared" si="36"/>
        <v>250012</v>
      </c>
      <c r="B1973" s="8" t="str">
        <f>"2561402011401"</f>
        <v>2561402011401</v>
      </c>
      <c r="C1973" s="8" t="s">
        <v>8</v>
      </c>
      <c r="D1973" s="9">
        <v>60.33</v>
      </c>
      <c r="E1973" s="8">
        <v>68</v>
      </c>
    </row>
    <row r="1974" s="3" customFormat="1" ht="18.75" spans="1:5">
      <c r="A1974" s="8" t="str">
        <f t="shared" si="36"/>
        <v>250012</v>
      </c>
      <c r="B1974" s="8" t="str">
        <f>"2561402011410"</f>
        <v>2561402011410</v>
      </c>
      <c r="C1974" s="8" t="s">
        <v>8</v>
      </c>
      <c r="D1974" s="9">
        <v>60.17</v>
      </c>
      <c r="E1974" s="8">
        <v>69</v>
      </c>
    </row>
    <row r="1975" s="3" customFormat="1" ht="18.75" spans="1:5">
      <c r="A1975" s="8" t="str">
        <f t="shared" si="36"/>
        <v>250012</v>
      </c>
      <c r="B1975" s="8" t="str">
        <f>"2561402011515"</f>
        <v>2561402011515</v>
      </c>
      <c r="C1975" s="8" t="s">
        <v>8</v>
      </c>
      <c r="D1975" s="9">
        <v>60.07</v>
      </c>
      <c r="E1975" s="8">
        <v>70</v>
      </c>
    </row>
    <row r="1976" s="3" customFormat="1" ht="18.75" spans="1:5">
      <c r="A1976" s="8" t="str">
        <f t="shared" si="36"/>
        <v>250012</v>
      </c>
      <c r="B1976" s="8" t="str">
        <f>"2561402011612"</f>
        <v>2561402011612</v>
      </c>
      <c r="C1976" s="8" t="s">
        <v>8</v>
      </c>
      <c r="D1976" s="9">
        <v>59.68</v>
      </c>
      <c r="E1976" s="8">
        <v>71</v>
      </c>
    </row>
    <row r="1977" s="3" customFormat="1" ht="18.75" spans="1:5">
      <c r="A1977" s="8" t="str">
        <f t="shared" si="36"/>
        <v>250012</v>
      </c>
      <c r="B1977" s="8" t="str">
        <f>"2561402011119"</f>
        <v>2561402011119</v>
      </c>
      <c r="C1977" s="8" t="s">
        <v>8</v>
      </c>
      <c r="D1977" s="9">
        <v>59.47</v>
      </c>
      <c r="E1977" s="8">
        <v>72</v>
      </c>
    </row>
    <row r="1978" s="3" customFormat="1" ht="18.75" spans="1:5">
      <c r="A1978" s="8" t="str">
        <f t="shared" si="36"/>
        <v>250012</v>
      </c>
      <c r="B1978" s="8" t="str">
        <f>"2561402011415"</f>
        <v>2561402011415</v>
      </c>
      <c r="C1978" s="8" t="s">
        <v>8</v>
      </c>
      <c r="D1978" s="9">
        <v>59.42</v>
      </c>
      <c r="E1978" s="8">
        <v>73</v>
      </c>
    </row>
    <row r="1979" s="3" customFormat="1" ht="18.75" spans="1:5">
      <c r="A1979" s="8" t="str">
        <f t="shared" si="36"/>
        <v>250012</v>
      </c>
      <c r="B1979" s="8" t="str">
        <f>"2561402011813"</f>
        <v>2561402011813</v>
      </c>
      <c r="C1979" s="8" t="s">
        <v>8</v>
      </c>
      <c r="D1979" s="9">
        <v>59.4</v>
      </c>
      <c r="E1979" s="8">
        <v>74</v>
      </c>
    </row>
    <row r="1980" s="3" customFormat="1" ht="18.75" spans="1:5">
      <c r="A1980" s="8" t="str">
        <f t="shared" si="36"/>
        <v>250012</v>
      </c>
      <c r="B1980" s="8" t="str">
        <f>"2561402011311"</f>
        <v>2561402011311</v>
      </c>
      <c r="C1980" s="8" t="s">
        <v>8</v>
      </c>
      <c r="D1980" s="9">
        <v>59.16</v>
      </c>
      <c r="E1980" s="8">
        <v>75</v>
      </c>
    </row>
    <row r="1981" s="3" customFormat="1" ht="18.75" spans="1:5">
      <c r="A1981" s="8" t="str">
        <f t="shared" si="36"/>
        <v>250012</v>
      </c>
      <c r="B1981" s="8" t="str">
        <f>"2561402011507"</f>
        <v>2561402011507</v>
      </c>
      <c r="C1981" s="8" t="s">
        <v>8</v>
      </c>
      <c r="D1981" s="9">
        <v>58.92</v>
      </c>
      <c r="E1981" s="8">
        <v>76</v>
      </c>
    </row>
    <row r="1982" s="3" customFormat="1" ht="18.75" spans="1:5">
      <c r="A1982" s="8" t="str">
        <f t="shared" si="36"/>
        <v>250012</v>
      </c>
      <c r="B1982" s="8" t="str">
        <f>"2561402012104"</f>
        <v>2561402012104</v>
      </c>
      <c r="C1982" s="8" t="s">
        <v>8</v>
      </c>
      <c r="D1982" s="9">
        <v>58.91</v>
      </c>
      <c r="E1982" s="8">
        <v>77</v>
      </c>
    </row>
    <row r="1983" s="3" customFormat="1" ht="18.75" spans="1:5">
      <c r="A1983" s="8" t="str">
        <f t="shared" si="36"/>
        <v>250012</v>
      </c>
      <c r="B1983" s="8" t="str">
        <f>"2561402011208"</f>
        <v>2561402011208</v>
      </c>
      <c r="C1983" s="8" t="s">
        <v>8</v>
      </c>
      <c r="D1983" s="9">
        <v>58.89</v>
      </c>
      <c r="E1983" s="8">
        <v>78</v>
      </c>
    </row>
    <row r="1984" s="3" customFormat="1" ht="18.75" spans="1:5">
      <c r="A1984" s="8" t="str">
        <f t="shared" si="36"/>
        <v>250012</v>
      </c>
      <c r="B1984" s="8" t="str">
        <f>"2561402012106"</f>
        <v>2561402012106</v>
      </c>
      <c r="C1984" s="8" t="s">
        <v>8</v>
      </c>
      <c r="D1984" s="9">
        <v>58.89</v>
      </c>
      <c r="E1984" s="8">
        <v>78</v>
      </c>
    </row>
    <row r="1985" s="3" customFormat="1" ht="18.75" spans="1:5">
      <c r="A1985" s="8" t="str">
        <f t="shared" si="36"/>
        <v>250012</v>
      </c>
      <c r="B1985" s="8" t="str">
        <f>"2561402011913"</f>
        <v>2561402011913</v>
      </c>
      <c r="C1985" s="8" t="s">
        <v>8</v>
      </c>
      <c r="D1985" s="9">
        <v>58.88</v>
      </c>
      <c r="E1985" s="8">
        <v>80</v>
      </c>
    </row>
    <row r="1986" s="3" customFormat="1" ht="18.75" spans="1:5">
      <c r="A1986" s="8" t="str">
        <f t="shared" si="36"/>
        <v>250012</v>
      </c>
      <c r="B1986" s="8" t="str">
        <f>"2561402012129"</f>
        <v>2561402012129</v>
      </c>
      <c r="C1986" s="8" t="s">
        <v>8</v>
      </c>
      <c r="D1986" s="9">
        <v>58.82</v>
      </c>
      <c r="E1986" s="8">
        <v>81</v>
      </c>
    </row>
    <row r="1987" s="3" customFormat="1" ht="18.75" spans="1:5">
      <c r="A1987" s="8" t="str">
        <f t="shared" si="36"/>
        <v>250012</v>
      </c>
      <c r="B1987" s="8" t="str">
        <f>"2561402012208"</f>
        <v>2561402012208</v>
      </c>
      <c r="C1987" s="8" t="s">
        <v>8</v>
      </c>
      <c r="D1987" s="9">
        <v>58.69</v>
      </c>
      <c r="E1987" s="8">
        <v>82</v>
      </c>
    </row>
    <row r="1988" s="3" customFormat="1" ht="18.75" spans="1:5">
      <c r="A1988" s="8" t="str">
        <f t="shared" si="36"/>
        <v>250012</v>
      </c>
      <c r="B1988" s="8" t="str">
        <f>"2561402012320"</f>
        <v>2561402012320</v>
      </c>
      <c r="C1988" s="8" t="s">
        <v>8</v>
      </c>
      <c r="D1988" s="9">
        <v>58.61</v>
      </c>
      <c r="E1988" s="8">
        <v>83</v>
      </c>
    </row>
    <row r="1989" s="3" customFormat="1" ht="18.75" spans="1:5">
      <c r="A1989" s="8" t="str">
        <f t="shared" si="36"/>
        <v>250012</v>
      </c>
      <c r="B1989" s="8" t="str">
        <f>"2561402012210"</f>
        <v>2561402012210</v>
      </c>
      <c r="C1989" s="8" t="s">
        <v>8</v>
      </c>
      <c r="D1989" s="9">
        <v>58.57</v>
      </c>
      <c r="E1989" s="8">
        <v>84</v>
      </c>
    </row>
    <row r="1990" s="3" customFormat="1" ht="18.75" spans="1:5">
      <c r="A1990" s="8" t="str">
        <f t="shared" si="36"/>
        <v>250012</v>
      </c>
      <c r="B1990" s="8" t="str">
        <f>"2561402011425"</f>
        <v>2561402011425</v>
      </c>
      <c r="C1990" s="8" t="s">
        <v>8</v>
      </c>
      <c r="D1990" s="9">
        <v>58.5</v>
      </c>
      <c r="E1990" s="8">
        <v>85</v>
      </c>
    </row>
    <row r="1991" s="3" customFormat="1" ht="18.75" spans="1:5">
      <c r="A1991" s="8" t="str">
        <f t="shared" si="36"/>
        <v>250012</v>
      </c>
      <c r="B1991" s="8" t="str">
        <f>"2561402012221"</f>
        <v>2561402012221</v>
      </c>
      <c r="C1991" s="8" t="s">
        <v>8</v>
      </c>
      <c r="D1991" s="9">
        <v>58.45</v>
      </c>
      <c r="E1991" s="8">
        <v>86</v>
      </c>
    </row>
    <row r="1992" s="3" customFormat="1" ht="18.75" spans="1:5">
      <c r="A1992" s="8" t="str">
        <f t="shared" si="36"/>
        <v>250012</v>
      </c>
      <c r="B1992" s="8" t="str">
        <f>"2561402011315"</f>
        <v>2561402011315</v>
      </c>
      <c r="C1992" s="8" t="s">
        <v>8</v>
      </c>
      <c r="D1992" s="9">
        <v>58.37</v>
      </c>
      <c r="E1992" s="8">
        <v>87</v>
      </c>
    </row>
    <row r="1993" s="3" customFormat="1" ht="18.75" spans="1:5">
      <c r="A1993" s="8" t="str">
        <f t="shared" si="36"/>
        <v>250012</v>
      </c>
      <c r="B1993" s="8" t="str">
        <f>"2561402011901"</f>
        <v>2561402011901</v>
      </c>
      <c r="C1993" s="8" t="s">
        <v>8</v>
      </c>
      <c r="D1993" s="9">
        <v>58.11</v>
      </c>
      <c r="E1993" s="8">
        <v>88</v>
      </c>
    </row>
    <row r="1994" s="3" customFormat="1" ht="18.75" spans="1:5">
      <c r="A1994" s="8" t="str">
        <f t="shared" si="36"/>
        <v>250012</v>
      </c>
      <c r="B1994" s="8" t="str">
        <f>"2561402012027"</f>
        <v>2561402012027</v>
      </c>
      <c r="C1994" s="8" t="s">
        <v>8</v>
      </c>
      <c r="D1994" s="9">
        <v>58.05</v>
      </c>
      <c r="E1994" s="8">
        <v>89</v>
      </c>
    </row>
    <row r="1995" s="3" customFormat="1" ht="18.75" spans="1:5">
      <c r="A1995" s="8" t="str">
        <f t="shared" si="36"/>
        <v>250012</v>
      </c>
      <c r="B1995" s="8" t="str">
        <f>"2561402011503"</f>
        <v>2561402011503</v>
      </c>
      <c r="C1995" s="8" t="s">
        <v>8</v>
      </c>
      <c r="D1995" s="9">
        <v>57.88</v>
      </c>
      <c r="E1995" s="8">
        <v>90</v>
      </c>
    </row>
    <row r="1996" s="3" customFormat="1" ht="18.75" spans="1:5">
      <c r="A1996" s="8" t="str">
        <f t="shared" si="36"/>
        <v>250012</v>
      </c>
      <c r="B1996" s="8" t="str">
        <f>"2561402011421"</f>
        <v>2561402011421</v>
      </c>
      <c r="C1996" s="8" t="s">
        <v>8</v>
      </c>
      <c r="D1996" s="9">
        <v>57.79</v>
      </c>
      <c r="E1996" s="8">
        <v>91</v>
      </c>
    </row>
    <row r="1997" s="3" customFormat="1" ht="18.75" spans="1:5">
      <c r="A1997" s="8" t="str">
        <f t="shared" si="36"/>
        <v>250012</v>
      </c>
      <c r="B1997" s="8" t="str">
        <f>"2561402011216"</f>
        <v>2561402011216</v>
      </c>
      <c r="C1997" s="8" t="s">
        <v>8</v>
      </c>
      <c r="D1997" s="9">
        <v>57.71</v>
      </c>
      <c r="E1997" s="8">
        <v>92</v>
      </c>
    </row>
    <row r="1998" s="3" customFormat="1" ht="18.75" spans="1:5">
      <c r="A1998" s="8" t="str">
        <f t="shared" si="36"/>
        <v>250012</v>
      </c>
      <c r="B1998" s="8" t="str">
        <f>"2561402011822"</f>
        <v>2561402011822</v>
      </c>
      <c r="C1998" s="8" t="s">
        <v>8</v>
      </c>
      <c r="D1998" s="9">
        <v>57.66</v>
      </c>
      <c r="E1998" s="8">
        <v>93</v>
      </c>
    </row>
    <row r="1999" s="3" customFormat="1" ht="18.75" spans="1:5">
      <c r="A1999" s="8" t="str">
        <f t="shared" si="36"/>
        <v>250012</v>
      </c>
      <c r="B1999" s="8" t="str">
        <f>"2561402011715"</f>
        <v>2561402011715</v>
      </c>
      <c r="C1999" s="8" t="s">
        <v>8</v>
      </c>
      <c r="D1999" s="9">
        <v>57.62</v>
      </c>
      <c r="E1999" s="8">
        <v>94</v>
      </c>
    </row>
    <row r="2000" s="3" customFormat="1" ht="18.75" spans="1:5">
      <c r="A2000" s="8" t="str">
        <f t="shared" si="36"/>
        <v>250012</v>
      </c>
      <c r="B2000" s="8" t="str">
        <f>"2561402011620"</f>
        <v>2561402011620</v>
      </c>
      <c r="C2000" s="8" t="s">
        <v>8</v>
      </c>
      <c r="D2000" s="9">
        <v>57.51</v>
      </c>
      <c r="E2000" s="8">
        <v>95</v>
      </c>
    </row>
    <row r="2001" s="3" customFormat="1" ht="18.75" spans="1:5">
      <c r="A2001" s="8" t="str">
        <f t="shared" si="36"/>
        <v>250012</v>
      </c>
      <c r="B2001" s="8" t="str">
        <f>"2561402012017"</f>
        <v>2561402012017</v>
      </c>
      <c r="C2001" s="8" t="s">
        <v>8</v>
      </c>
      <c r="D2001" s="9">
        <v>57.43</v>
      </c>
      <c r="E2001" s="8">
        <v>96</v>
      </c>
    </row>
    <row r="2002" s="3" customFormat="1" ht="18.75" spans="1:5">
      <c r="A2002" s="8" t="str">
        <f t="shared" si="36"/>
        <v>250012</v>
      </c>
      <c r="B2002" s="8" t="str">
        <f>"2561402012024"</f>
        <v>2561402012024</v>
      </c>
      <c r="C2002" s="8" t="s">
        <v>8</v>
      </c>
      <c r="D2002" s="9">
        <v>57.33</v>
      </c>
      <c r="E2002" s="8">
        <v>97</v>
      </c>
    </row>
    <row r="2003" s="3" customFormat="1" ht="18.75" spans="1:5">
      <c r="A2003" s="8" t="str">
        <f t="shared" si="36"/>
        <v>250012</v>
      </c>
      <c r="B2003" s="8" t="str">
        <f>"2561402012020"</f>
        <v>2561402012020</v>
      </c>
      <c r="C2003" s="8" t="s">
        <v>8</v>
      </c>
      <c r="D2003" s="9">
        <v>57.32</v>
      </c>
      <c r="E2003" s="8">
        <v>98</v>
      </c>
    </row>
    <row r="2004" s="3" customFormat="1" ht="18.75" spans="1:5">
      <c r="A2004" s="8" t="str">
        <f t="shared" si="36"/>
        <v>250012</v>
      </c>
      <c r="B2004" s="8" t="str">
        <f>"2561402011209"</f>
        <v>2561402011209</v>
      </c>
      <c r="C2004" s="8" t="s">
        <v>8</v>
      </c>
      <c r="D2004" s="9">
        <v>57.19</v>
      </c>
      <c r="E2004" s="8">
        <v>99</v>
      </c>
    </row>
    <row r="2005" s="3" customFormat="1" ht="18.75" spans="1:5">
      <c r="A2005" s="8" t="str">
        <f t="shared" si="36"/>
        <v>250012</v>
      </c>
      <c r="B2005" s="8" t="str">
        <f>"2561402012223"</f>
        <v>2561402012223</v>
      </c>
      <c r="C2005" s="8" t="s">
        <v>8</v>
      </c>
      <c r="D2005" s="9">
        <v>57.1</v>
      </c>
      <c r="E2005" s="8">
        <v>100</v>
      </c>
    </row>
    <row r="2006" s="3" customFormat="1" ht="18.75" spans="1:5">
      <c r="A2006" s="8" t="str">
        <f t="shared" si="36"/>
        <v>250012</v>
      </c>
      <c r="B2006" s="8" t="str">
        <f>"2561402012111"</f>
        <v>2561402012111</v>
      </c>
      <c r="C2006" s="8" t="s">
        <v>8</v>
      </c>
      <c r="D2006" s="9">
        <v>57.06</v>
      </c>
      <c r="E2006" s="8">
        <v>101</v>
      </c>
    </row>
    <row r="2007" s="3" customFormat="1" ht="18.75" spans="1:5">
      <c r="A2007" s="8" t="str">
        <f t="shared" si="36"/>
        <v>250012</v>
      </c>
      <c r="B2007" s="8" t="str">
        <f>"2561402012403"</f>
        <v>2561402012403</v>
      </c>
      <c r="C2007" s="8" t="s">
        <v>8</v>
      </c>
      <c r="D2007" s="9">
        <v>56.97</v>
      </c>
      <c r="E2007" s="8">
        <v>102</v>
      </c>
    </row>
    <row r="2008" s="3" customFormat="1" ht="18.75" spans="1:5">
      <c r="A2008" s="8" t="str">
        <f t="shared" si="36"/>
        <v>250012</v>
      </c>
      <c r="B2008" s="8" t="str">
        <f>"2561402012019"</f>
        <v>2561402012019</v>
      </c>
      <c r="C2008" s="8" t="s">
        <v>8</v>
      </c>
      <c r="D2008" s="9">
        <v>56.96</v>
      </c>
      <c r="E2008" s="8">
        <v>103</v>
      </c>
    </row>
    <row r="2009" s="3" customFormat="1" ht="18.75" spans="1:5">
      <c r="A2009" s="8" t="str">
        <f t="shared" si="36"/>
        <v>250012</v>
      </c>
      <c r="B2009" s="8" t="str">
        <f>"2561402012204"</f>
        <v>2561402012204</v>
      </c>
      <c r="C2009" s="8" t="s">
        <v>8</v>
      </c>
      <c r="D2009" s="9">
        <v>56.96</v>
      </c>
      <c r="E2009" s="8">
        <v>103</v>
      </c>
    </row>
    <row r="2010" s="3" customFormat="1" ht="18.75" spans="1:5">
      <c r="A2010" s="8" t="str">
        <f t="shared" si="36"/>
        <v>250012</v>
      </c>
      <c r="B2010" s="8" t="str">
        <f>"2561402011615"</f>
        <v>2561402011615</v>
      </c>
      <c r="C2010" s="8" t="s">
        <v>8</v>
      </c>
      <c r="D2010" s="9">
        <v>56.92</v>
      </c>
      <c r="E2010" s="8">
        <v>105</v>
      </c>
    </row>
    <row r="2011" s="3" customFormat="1" ht="18.75" spans="1:5">
      <c r="A2011" s="8" t="str">
        <f t="shared" si="36"/>
        <v>250012</v>
      </c>
      <c r="B2011" s="8" t="str">
        <f>"2561402011921"</f>
        <v>2561402011921</v>
      </c>
      <c r="C2011" s="8" t="s">
        <v>8</v>
      </c>
      <c r="D2011" s="9">
        <v>56.79</v>
      </c>
      <c r="E2011" s="8">
        <v>106</v>
      </c>
    </row>
    <row r="2012" s="3" customFormat="1" ht="18.75" spans="1:5">
      <c r="A2012" s="8" t="str">
        <f t="shared" si="36"/>
        <v>250012</v>
      </c>
      <c r="B2012" s="8" t="str">
        <f>"2561402011828"</f>
        <v>2561402011828</v>
      </c>
      <c r="C2012" s="8" t="s">
        <v>8</v>
      </c>
      <c r="D2012" s="9">
        <v>56.77</v>
      </c>
      <c r="E2012" s="8">
        <v>107</v>
      </c>
    </row>
    <row r="2013" s="3" customFormat="1" ht="18.75" spans="1:5">
      <c r="A2013" s="8" t="str">
        <f t="shared" si="36"/>
        <v>250012</v>
      </c>
      <c r="B2013" s="8" t="str">
        <f>"2561402012006"</f>
        <v>2561402012006</v>
      </c>
      <c r="C2013" s="8" t="s">
        <v>8</v>
      </c>
      <c r="D2013" s="9">
        <v>56.76</v>
      </c>
      <c r="E2013" s="8">
        <v>108</v>
      </c>
    </row>
    <row r="2014" s="3" customFormat="1" ht="18.75" spans="1:5">
      <c r="A2014" s="8" t="str">
        <f t="shared" si="36"/>
        <v>250012</v>
      </c>
      <c r="B2014" s="8" t="str">
        <f>"2561402011912"</f>
        <v>2561402011912</v>
      </c>
      <c r="C2014" s="8" t="s">
        <v>8</v>
      </c>
      <c r="D2014" s="9">
        <v>56.59</v>
      </c>
      <c r="E2014" s="8">
        <v>109</v>
      </c>
    </row>
    <row r="2015" s="3" customFormat="1" ht="18.75" spans="1:5">
      <c r="A2015" s="8" t="str">
        <f t="shared" si="36"/>
        <v>250012</v>
      </c>
      <c r="B2015" s="8" t="str">
        <f>"2561402011606"</f>
        <v>2561402011606</v>
      </c>
      <c r="C2015" s="8" t="s">
        <v>8</v>
      </c>
      <c r="D2015" s="9">
        <v>56.51</v>
      </c>
      <c r="E2015" s="8">
        <v>110</v>
      </c>
    </row>
    <row r="2016" s="3" customFormat="1" ht="18.75" spans="1:5">
      <c r="A2016" s="8" t="str">
        <f t="shared" si="36"/>
        <v>250012</v>
      </c>
      <c r="B2016" s="8" t="str">
        <f>"2561402011816"</f>
        <v>2561402011816</v>
      </c>
      <c r="C2016" s="8" t="s">
        <v>8</v>
      </c>
      <c r="D2016" s="9">
        <v>56.35</v>
      </c>
      <c r="E2016" s="8">
        <v>111</v>
      </c>
    </row>
    <row r="2017" s="3" customFormat="1" ht="18.75" spans="1:5">
      <c r="A2017" s="8" t="str">
        <f t="shared" si="36"/>
        <v>250012</v>
      </c>
      <c r="B2017" s="8" t="str">
        <f>"2561402012115"</f>
        <v>2561402012115</v>
      </c>
      <c r="C2017" s="8" t="s">
        <v>8</v>
      </c>
      <c r="D2017" s="9">
        <v>56.35</v>
      </c>
      <c r="E2017" s="8">
        <v>111</v>
      </c>
    </row>
    <row r="2018" s="3" customFormat="1" ht="18.75" spans="1:5">
      <c r="A2018" s="8" t="str">
        <f t="shared" si="36"/>
        <v>250012</v>
      </c>
      <c r="B2018" s="8" t="str">
        <f>"2561402011925"</f>
        <v>2561402011925</v>
      </c>
      <c r="C2018" s="8" t="s">
        <v>8</v>
      </c>
      <c r="D2018" s="9">
        <v>56.27</v>
      </c>
      <c r="E2018" s="8">
        <v>113</v>
      </c>
    </row>
    <row r="2019" s="3" customFormat="1" ht="18.75" spans="1:5">
      <c r="A2019" s="8" t="str">
        <f t="shared" si="36"/>
        <v>250012</v>
      </c>
      <c r="B2019" s="8" t="str">
        <f>"2561402012225"</f>
        <v>2561402012225</v>
      </c>
      <c r="C2019" s="8" t="s">
        <v>8</v>
      </c>
      <c r="D2019" s="9">
        <v>56.09</v>
      </c>
      <c r="E2019" s="8">
        <v>114</v>
      </c>
    </row>
    <row r="2020" s="3" customFormat="1" ht="18.75" spans="1:5">
      <c r="A2020" s="8" t="str">
        <f t="shared" si="36"/>
        <v>250012</v>
      </c>
      <c r="B2020" s="8" t="str">
        <f>"2561402011309"</f>
        <v>2561402011309</v>
      </c>
      <c r="C2020" s="8" t="s">
        <v>8</v>
      </c>
      <c r="D2020" s="9">
        <v>56.06</v>
      </c>
      <c r="E2020" s="8">
        <v>115</v>
      </c>
    </row>
    <row r="2021" s="3" customFormat="1" ht="18.75" spans="1:5">
      <c r="A2021" s="8" t="str">
        <f t="shared" si="36"/>
        <v>250012</v>
      </c>
      <c r="B2021" s="8" t="str">
        <f>"2561402011818"</f>
        <v>2561402011818</v>
      </c>
      <c r="C2021" s="8" t="s">
        <v>8</v>
      </c>
      <c r="D2021" s="9">
        <v>56.06</v>
      </c>
      <c r="E2021" s="8">
        <v>115</v>
      </c>
    </row>
    <row r="2022" s="3" customFormat="1" ht="18.75" spans="1:5">
      <c r="A2022" s="8" t="str">
        <f t="shared" si="36"/>
        <v>250012</v>
      </c>
      <c r="B2022" s="8" t="str">
        <f>"2561402012224"</f>
        <v>2561402012224</v>
      </c>
      <c r="C2022" s="8" t="s">
        <v>8</v>
      </c>
      <c r="D2022" s="9">
        <v>56.04</v>
      </c>
      <c r="E2022" s="8">
        <v>117</v>
      </c>
    </row>
    <row r="2023" s="3" customFormat="1" ht="18.75" spans="1:5">
      <c r="A2023" s="8" t="str">
        <f t="shared" si="36"/>
        <v>250012</v>
      </c>
      <c r="B2023" s="8" t="str">
        <f>"2561402011317"</f>
        <v>2561402011317</v>
      </c>
      <c r="C2023" s="8" t="s">
        <v>8</v>
      </c>
      <c r="D2023" s="9">
        <v>56.01</v>
      </c>
      <c r="E2023" s="8">
        <v>118</v>
      </c>
    </row>
    <row r="2024" s="3" customFormat="1" ht="18.75" spans="1:5">
      <c r="A2024" s="8" t="str">
        <f t="shared" si="36"/>
        <v>250012</v>
      </c>
      <c r="B2024" s="8" t="str">
        <f>"2561402011512"</f>
        <v>2561402011512</v>
      </c>
      <c r="C2024" s="8" t="s">
        <v>8</v>
      </c>
      <c r="D2024" s="9">
        <v>56.01</v>
      </c>
      <c r="E2024" s="8">
        <v>118</v>
      </c>
    </row>
    <row r="2025" s="3" customFormat="1" ht="18.75" spans="1:5">
      <c r="A2025" s="8" t="str">
        <f t="shared" si="36"/>
        <v>250012</v>
      </c>
      <c r="B2025" s="8" t="str">
        <f>"2561402011117"</f>
        <v>2561402011117</v>
      </c>
      <c r="C2025" s="8" t="s">
        <v>8</v>
      </c>
      <c r="D2025" s="9">
        <v>55.97</v>
      </c>
      <c r="E2025" s="8">
        <v>120</v>
      </c>
    </row>
    <row r="2026" s="3" customFormat="1" ht="18.75" spans="1:5">
      <c r="A2026" s="8" t="str">
        <f t="shared" si="36"/>
        <v>250012</v>
      </c>
      <c r="B2026" s="8" t="str">
        <f>"2561402011622"</f>
        <v>2561402011622</v>
      </c>
      <c r="C2026" s="8" t="s">
        <v>8</v>
      </c>
      <c r="D2026" s="9">
        <v>55.95</v>
      </c>
      <c r="E2026" s="8">
        <v>121</v>
      </c>
    </row>
    <row r="2027" s="3" customFormat="1" ht="18.75" spans="1:5">
      <c r="A2027" s="8" t="str">
        <f t="shared" si="36"/>
        <v>250012</v>
      </c>
      <c r="B2027" s="8" t="str">
        <f>"2561402012012"</f>
        <v>2561402012012</v>
      </c>
      <c r="C2027" s="8" t="s">
        <v>8</v>
      </c>
      <c r="D2027" s="9">
        <v>55.89</v>
      </c>
      <c r="E2027" s="8">
        <v>122</v>
      </c>
    </row>
    <row r="2028" s="3" customFormat="1" ht="18.75" spans="1:5">
      <c r="A2028" s="8" t="str">
        <f t="shared" si="36"/>
        <v>250012</v>
      </c>
      <c r="B2028" s="8" t="str">
        <f>"2561402011205"</f>
        <v>2561402011205</v>
      </c>
      <c r="C2028" s="8" t="s">
        <v>8</v>
      </c>
      <c r="D2028" s="9">
        <v>55.77</v>
      </c>
      <c r="E2028" s="8">
        <v>123</v>
      </c>
    </row>
    <row r="2029" s="3" customFormat="1" ht="18.75" spans="1:5">
      <c r="A2029" s="8" t="str">
        <f t="shared" si="36"/>
        <v>250012</v>
      </c>
      <c r="B2029" s="8" t="str">
        <f>"2561402011917"</f>
        <v>2561402011917</v>
      </c>
      <c r="C2029" s="8" t="s">
        <v>8</v>
      </c>
      <c r="D2029" s="9">
        <v>55.77</v>
      </c>
      <c r="E2029" s="8">
        <v>123</v>
      </c>
    </row>
    <row r="2030" s="3" customFormat="1" ht="18.75" spans="1:5">
      <c r="A2030" s="8" t="str">
        <f t="shared" si="36"/>
        <v>250012</v>
      </c>
      <c r="B2030" s="8" t="str">
        <f>"2561402011411"</f>
        <v>2561402011411</v>
      </c>
      <c r="C2030" s="8" t="s">
        <v>8</v>
      </c>
      <c r="D2030" s="9">
        <v>55.73</v>
      </c>
      <c r="E2030" s="8">
        <v>125</v>
      </c>
    </row>
    <row r="2031" s="3" customFormat="1" ht="18.75" spans="1:5">
      <c r="A2031" s="8" t="str">
        <f t="shared" si="36"/>
        <v>250012</v>
      </c>
      <c r="B2031" s="8" t="str">
        <f>"2561402011520"</f>
        <v>2561402011520</v>
      </c>
      <c r="C2031" s="8" t="s">
        <v>8</v>
      </c>
      <c r="D2031" s="9">
        <v>55.71</v>
      </c>
      <c r="E2031" s="8">
        <v>126</v>
      </c>
    </row>
    <row r="2032" s="3" customFormat="1" ht="18.75" spans="1:5">
      <c r="A2032" s="8" t="str">
        <f t="shared" si="36"/>
        <v>250012</v>
      </c>
      <c r="B2032" s="8" t="str">
        <f>"2561402011604"</f>
        <v>2561402011604</v>
      </c>
      <c r="C2032" s="8" t="s">
        <v>8</v>
      </c>
      <c r="D2032" s="9">
        <v>55.6</v>
      </c>
      <c r="E2032" s="8">
        <v>127</v>
      </c>
    </row>
    <row r="2033" s="3" customFormat="1" ht="18.75" spans="1:5">
      <c r="A2033" s="8" t="str">
        <f t="shared" si="36"/>
        <v>250012</v>
      </c>
      <c r="B2033" s="8" t="str">
        <f>"2561402011312"</f>
        <v>2561402011312</v>
      </c>
      <c r="C2033" s="8" t="s">
        <v>8</v>
      </c>
      <c r="D2033" s="9">
        <v>55.56</v>
      </c>
      <c r="E2033" s="8">
        <v>128</v>
      </c>
    </row>
    <row r="2034" s="3" customFormat="1" ht="18.75" spans="1:5">
      <c r="A2034" s="8" t="str">
        <f t="shared" ref="A2034:A2097" si="37">"250012"</f>
        <v>250012</v>
      </c>
      <c r="B2034" s="8" t="str">
        <f>"2561402012028"</f>
        <v>2561402012028</v>
      </c>
      <c r="C2034" s="8" t="s">
        <v>8</v>
      </c>
      <c r="D2034" s="9">
        <v>55.56</v>
      </c>
      <c r="E2034" s="8">
        <v>128</v>
      </c>
    </row>
    <row r="2035" s="3" customFormat="1" ht="18.75" spans="1:5">
      <c r="A2035" s="8" t="str">
        <f t="shared" si="37"/>
        <v>250012</v>
      </c>
      <c r="B2035" s="8" t="str">
        <f>"2561402012101"</f>
        <v>2561402012101</v>
      </c>
      <c r="C2035" s="8" t="s">
        <v>8</v>
      </c>
      <c r="D2035" s="9">
        <v>55.52</v>
      </c>
      <c r="E2035" s="8">
        <v>130</v>
      </c>
    </row>
    <row r="2036" s="3" customFormat="1" ht="18.75" spans="1:5">
      <c r="A2036" s="8" t="str">
        <f t="shared" si="37"/>
        <v>250012</v>
      </c>
      <c r="B2036" s="8" t="str">
        <f>"2561402011720"</f>
        <v>2561402011720</v>
      </c>
      <c r="C2036" s="8" t="s">
        <v>8</v>
      </c>
      <c r="D2036" s="9">
        <v>55.42</v>
      </c>
      <c r="E2036" s="8">
        <v>131</v>
      </c>
    </row>
    <row r="2037" s="3" customFormat="1" ht="18.75" spans="1:5">
      <c r="A2037" s="8" t="str">
        <f t="shared" si="37"/>
        <v>250012</v>
      </c>
      <c r="B2037" s="8" t="str">
        <f>"2561402011224"</f>
        <v>2561402011224</v>
      </c>
      <c r="C2037" s="8" t="s">
        <v>8</v>
      </c>
      <c r="D2037" s="9">
        <v>55.32</v>
      </c>
      <c r="E2037" s="8">
        <v>132</v>
      </c>
    </row>
    <row r="2038" s="3" customFormat="1" ht="18.75" spans="1:5">
      <c r="A2038" s="8" t="str">
        <f t="shared" si="37"/>
        <v>250012</v>
      </c>
      <c r="B2038" s="8" t="str">
        <f>"2561402011223"</f>
        <v>2561402011223</v>
      </c>
      <c r="C2038" s="8" t="s">
        <v>8</v>
      </c>
      <c r="D2038" s="9">
        <v>55.28</v>
      </c>
      <c r="E2038" s="8">
        <v>133</v>
      </c>
    </row>
    <row r="2039" s="3" customFormat="1" ht="18.75" spans="1:5">
      <c r="A2039" s="8" t="str">
        <f t="shared" si="37"/>
        <v>250012</v>
      </c>
      <c r="B2039" s="8" t="str">
        <f>"2561402011126"</f>
        <v>2561402011126</v>
      </c>
      <c r="C2039" s="8" t="s">
        <v>8</v>
      </c>
      <c r="D2039" s="9">
        <v>55.21</v>
      </c>
      <c r="E2039" s="8">
        <v>134</v>
      </c>
    </row>
    <row r="2040" s="3" customFormat="1" ht="18.75" spans="1:5">
      <c r="A2040" s="8" t="str">
        <f t="shared" si="37"/>
        <v>250012</v>
      </c>
      <c r="B2040" s="8" t="str">
        <f>"2561402012005"</f>
        <v>2561402012005</v>
      </c>
      <c r="C2040" s="8" t="s">
        <v>8</v>
      </c>
      <c r="D2040" s="9">
        <v>55.02</v>
      </c>
      <c r="E2040" s="8">
        <v>135</v>
      </c>
    </row>
    <row r="2041" s="3" customFormat="1" ht="18.75" spans="1:5">
      <c r="A2041" s="8" t="str">
        <f t="shared" si="37"/>
        <v>250012</v>
      </c>
      <c r="B2041" s="8" t="str">
        <f>"2561402011125"</f>
        <v>2561402011125</v>
      </c>
      <c r="C2041" s="8" t="s">
        <v>8</v>
      </c>
      <c r="D2041" s="9">
        <v>54.96</v>
      </c>
      <c r="E2041" s="8">
        <v>136</v>
      </c>
    </row>
    <row r="2042" s="3" customFormat="1" ht="18.75" spans="1:5">
      <c r="A2042" s="8" t="str">
        <f t="shared" si="37"/>
        <v>250012</v>
      </c>
      <c r="B2042" s="8" t="str">
        <f>"2561402011722"</f>
        <v>2561402011722</v>
      </c>
      <c r="C2042" s="8" t="s">
        <v>8</v>
      </c>
      <c r="D2042" s="9">
        <v>54.92</v>
      </c>
      <c r="E2042" s="8">
        <v>137</v>
      </c>
    </row>
    <row r="2043" s="3" customFormat="1" ht="18.75" spans="1:5">
      <c r="A2043" s="8" t="str">
        <f t="shared" si="37"/>
        <v>250012</v>
      </c>
      <c r="B2043" s="8" t="str">
        <f>"2561402011420"</f>
        <v>2561402011420</v>
      </c>
      <c r="C2043" s="8" t="s">
        <v>8</v>
      </c>
      <c r="D2043" s="9">
        <v>54.91</v>
      </c>
      <c r="E2043" s="8">
        <v>138</v>
      </c>
    </row>
    <row r="2044" s="3" customFormat="1" ht="18.75" spans="1:5">
      <c r="A2044" s="8" t="str">
        <f t="shared" si="37"/>
        <v>250012</v>
      </c>
      <c r="B2044" s="8" t="str">
        <f>"2561402012307"</f>
        <v>2561402012307</v>
      </c>
      <c r="C2044" s="8" t="s">
        <v>8</v>
      </c>
      <c r="D2044" s="9">
        <v>54.9</v>
      </c>
      <c r="E2044" s="8">
        <v>139</v>
      </c>
    </row>
    <row r="2045" s="3" customFormat="1" ht="18.75" spans="1:5">
      <c r="A2045" s="8" t="str">
        <f t="shared" si="37"/>
        <v>250012</v>
      </c>
      <c r="B2045" s="8" t="str">
        <f>"2561402011628"</f>
        <v>2561402011628</v>
      </c>
      <c r="C2045" s="8" t="s">
        <v>8</v>
      </c>
      <c r="D2045" s="9">
        <v>54.83</v>
      </c>
      <c r="E2045" s="8">
        <v>140</v>
      </c>
    </row>
    <row r="2046" s="3" customFormat="1" ht="18.75" spans="1:5">
      <c r="A2046" s="8" t="str">
        <f t="shared" si="37"/>
        <v>250012</v>
      </c>
      <c r="B2046" s="8" t="str">
        <f>"2561402011122"</f>
        <v>2561402011122</v>
      </c>
      <c r="C2046" s="8" t="s">
        <v>8</v>
      </c>
      <c r="D2046" s="9">
        <v>54.81</v>
      </c>
      <c r="E2046" s="8">
        <v>141</v>
      </c>
    </row>
    <row r="2047" s="3" customFormat="1" ht="18.75" spans="1:5">
      <c r="A2047" s="8" t="str">
        <f t="shared" si="37"/>
        <v>250012</v>
      </c>
      <c r="B2047" s="8" t="str">
        <f>"2561402012002"</f>
        <v>2561402012002</v>
      </c>
      <c r="C2047" s="8" t="s">
        <v>8</v>
      </c>
      <c r="D2047" s="9">
        <v>54.81</v>
      </c>
      <c r="E2047" s="8">
        <v>141</v>
      </c>
    </row>
    <row r="2048" s="3" customFormat="1" ht="18.75" spans="1:5">
      <c r="A2048" s="8" t="str">
        <f t="shared" si="37"/>
        <v>250012</v>
      </c>
      <c r="B2048" s="8" t="str">
        <f>"2561402011505"</f>
        <v>2561402011505</v>
      </c>
      <c r="C2048" s="8" t="s">
        <v>8</v>
      </c>
      <c r="D2048" s="9">
        <v>54.75</v>
      </c>
      <c r="E2048" s="8">
        <v>143</v>
      </c>
    </row>
    <row r="2049" s="3" customFormat="1" ht="18.75" spans="1:5">
      <c r="A2049" s="8" t="str">
        <f t="shared" si="37"/>
        <v>250012</v>
      </c>
      <c r="B2049" s="8" t="str">
        <f>"2561402012127"</f>
        <v>2561402012127</v>
      </c>
      <c r="C2049" s="8" t="s">
        <v>8</v>
      </c>
      <c r="D2049" s="9">
        <v>54.7</v>
      </c>
      <c r="E2049" s="8">
        <v>144</v>
      </c>
    </row>
    <row r="2050" s="3" customFormat="1" ht="18.75" spans="1:5">
      <c r="A2050" s="8" t="str">
        <f t="shared" si="37"/>
        <v>250012</v>
      </c>
      <c r="B2050" s="8" t="str">
        <f>"2561402012401"</f>
        <v>2561402012401</v>
      </c>
      <c r="C2050" s="8" t="s">
        <v>8</v>
      </c>
      <c r="D2050" s="9">
        <v>54.52</v>
      </c>
      <c r="E2050" s="8">
        <v>145</v>
      </c>
    </row>
    <row r="2051" s="3" customFormat="1" ht="18.75" spans="1:5">
      <c r="A2051" s="8" t="str">
        <f t="shared" si="37"/>
        <v>250012</v>
      </c>
      <c r="B2051" s="8" t="str">
        <f>"2561402011322"</f>
        <v>2561402011322</v>
      </c>
      <c r="C2051" s="8" t="s">
        <v>8</v>
      </c>
      <c r="D2051" s="9">
        <v>54.51</v>
      </c>
      <c r="E2051" s="8">
        <v>146</v>
      </c>
    </row>
    <row r="2052" s="3" customFormat="1" ht="18.75" spans="1:5">
      <c r="A2052" s="8" t="str">
        <f t="shared" si="37"/>
        <v>250012</v>
      </c>
      <c r="B2052" s="8" t="str">
        <f>"2561402011916"</f>
        <v>2561402011916</v>
      </c>
      <c r="C2052" s="8" t="s">
        <v>8</v>
      </c>
      <c r="D2052" s="9">
        <v>54.44</v>
      </c>
      <c r="E2052" s="8">
        <v>147</v>
      </c>
    </row>
    <row r="2053" s="3" customFormat="1" ht="18.75" spans="1:5">
      <c r="A2053" s="8" t="str">
        <f t="shared" si="37"/>
        <v>250012</v>
      </c>
      <c r="B2053" s="8" t="str">
        <f>"2561402012030"</f>
        <v>2561402012030</v>
      </c>
      <c r="C2053" s="8" t="s">
        <v>8</v>
      </c>
      <c r="D2053" s="9">
        <v>54.36</v>
      </c>
      <c r="E2053" s="8">
        <v>148</v>
      </c>
    </row>
    <row r="2054" s="3" customFormat="1" ht="18.75" spans="1:5">
      <c r="A2054" s="8" t="str">
        <f t="shared" si="37"/>
        <v>250012</v>
      </c>
      <c r="B2054" s="8" t="str">
        <f>"2561402011723"</f>
        <v>2561402011723</v>
      </c>
      <c r="C2054" s="8" t="s">
        <v>8</v>
      </c>
      <c r="D2054" s="9">
        <v>54.33</v>
      </c>
      <c r="E2054" s="8">
        <v>149</v>
      </c>
    </row>
    <row r="2055" s="3" customFormat="1" ht="18.75" spans="1:5">
      <c r="A2055" s="8" t="str">
        <f t="shared" si="37"/>
        <v>250012</v>
      </c>
      <c r="B2055" s="8" t="str">
        <f>"2561402011417"</f>
        <v>2561402011417</v>
      </c>
      <c r="C2055" s="8" t="s">
        <v>8</v>
      </c>
      <c r="D2055" s="9">
        <v>54.27</v>
      </c>
      <c r="E2055" s="8">
        <v>150</v>
      </c>
    </row>
    <row r="2056" s="3" customFormat="1" ht="18.75" spans="1:5">
      <c r="A2056" s="8" t="str">
        <f t="shared" si="37"/>
        <v>250012</v>
      </c>
      <c r="B2056" s="8" t="str">
        <f>"2561402011108"</f>
        <v>2561402011108</v>
      </c>
      <c r="C2056" s="8" t="s">
        <v>8</v>
      </c>
      <c r="D2056" s="9">
        <v>54.19</v>
      </c>
      <c r="E2056" s="8">
        <v>151</v>
      </c>
    </row>
    <row r="2057" s="3" customFormat="1" ht="18.75" spans="1:5">
      <c r="A2057" s="8" t="str">
        <f t="shared" si="37"/>
        <v>250012</v>
      </c>
      <c r="B2057" s="8" t="str">
        <f>"2561402012001"</f>
        <v>2561402012001</v>
      </c>
      <c r="C2057" s="8" t="s">
        <v>8</v>
      </c>
      <c r="D2057" s="9">
        <v>53.95</v>
      </c>
      <c r="E2057" s="8">
        <v>152</v>
      </c>
    </row>
    <row r="2058" s="3" customFormat="1" ht="18.75" spans="1:5">
      <c r="A2058" s="8" t="str">
        <f t="shared" si="37"/>
        <v>250012</v>
      </c>
      <c r="B2058" s="8" t="str">
        <f>"2561402012209"</f>
        <v>2561402012209</v>
      </c>
      <c r="C2058" s="8" t="s">
        <v>8</v>
      </c>
      <c r="D2058" s="9">
        <v>53.71</v>
      </c>
      <c r="E2058" s="8">
        <v>153</v>
      </c>
    </row>
    <row r="2059" s="3" customFormat="1" ht="18.75" spans="1:5">
      <c r="A2059" s="8" t="str">
        <f t="shared" si="37"/>
        <v>250012</v>
      </c>
      <c r="B2059" s="8" t="str">
        <f>"2561402011406"</f>
        <v>2561402011406</v>
      </c>
      <c r="C2059" s="8" t="s">
        <v>8</v>
      </c>
      <c r="D2059" s="9">
        <v>53.6</v>
      </c>
      <c r="E2059" s="8">
        <v>154</v>
      </c>
    </row>
    <row r="2060" s="3" customFormat="1" ht="18.75" spans="1:5">
      <c r="A2060" s="8" t="str">
        <f t="shared" si="37"/>
        <v>250012</v>
      </c>
      <c r="B2060" s="8" t="str">
        <f>"2561402011314"</f>
        <v>2561402011314</v>
      </c>
      <c r="C2060" s="8" t="s">
        <v>8</v>
      </c>
      <c r="D2060" s="9">
        <v>53.55</v>
      </c>
      <c r="E2060" s="8">
        <v>155</v>
      </c>
    </row>
    <row r="2061" s="3" customFormat="1" ht="18.75" spans="1:5">
      <c r="A2061" s="8" t="str">
        <f t="shared" si="37"/>
        <v>250012</v>
      </c>
      <c r="B2061" s="8" t="str">
        <f>"2561402011111"</f>
        <v>2561402011111</v>
      </c>
      <c r="C2061" s="8" t="s">
        <v>8</v>
      </c>
      <c r="D2061" s="9">
        <v>53.52</v>
      </c>
      <c r="E2061" s="8">
        <v>156</v>
      </c>
    </row>
    <row r="2062" s="3" customFormat="1" ht="18.75" spans="1:5">
      <c r="A2062" s="8" t="str">
        <f t="shared" si="37"/>
        <v>250012</v>
      </c>
      <c r="B2062" s="8" t="str">
        <f>"2561402011025"</f>
        <v>2561402011025</v>
      </c>
      <c r="C2062" s="8" t="s">
        <v>8</v>
      </c>
      <c r="D2062" s="9">
        <v>53.39</v>
      </c>
      <c r="E2062" s="8">
        <v>157</v>
      </c>
    </row>
    <row r="2063" s="3" customFormat="1" ht="18.75" spans="1:5">
      <c r="A2063" s="8" t="str">
        <f t="shared" si="37"/>
        <v>250012</v>
      </c>
      <c r="B2063" s="8" t="str">
        <f>"2561402011627"</f>
        <v>2561402011627</v>
      </c>
      <c r="C2063" s="8" t="s">
        <v>8</v>
      </c>
      <c r="D2063" s="9">
        <v>52.9</v>
      </c>
      <c r="E2063" s="8">
        <v>158</v>
      </c>
    </row>
    <row r="2064" s="3" customFormat="1" ht="18.75" spans="1:5">
      <c r="A2064" s="8" t="str">
        <f t="shared" si="37"/>
        <v>250012</v>
      </c>
      <c r="B2064" s="8" t="str">
        <f>"2561402011810"</f>
        <v>2561402011810</v>
      </c>
      <c r="C2064" s="8" t="s">
        <v>8</v>
      </c>
      <c r="D2064" s="9">
        <v>52.87</v>
      </c>
      <c r="E2064" s="8">
        <v>159</v>
      </c>
    </row>
    <row r="2065" s="3" customFormat="1" ht="18.75" spans="1:5">
      <c r="A2065" s="8" t="str">
        <f t="shared" si="37"/>
        <v>250012</v>
      </c>
      <c r="B2065" s="8" t="str">
        <f>"2561402012319"</f>
        <v>2561402012319</v>
      </c>
      <c r="C2065" s="8" t="s">
        <v>8</v>
      </c>
      <c r="D2065" s="9">
        <v>52.85</v>
      </c>
      <c r="E2065" s="8">
        <v>160</v>
      </c>
    </row>
    <row r="2066" s="3" customFormat="1" ht="18.75" spans="1:5">
      <c r="A2066" s="8" t="str">
        <f t="shared" si="37"/>
        <v>250012</v>
      </c>
      <c r="B2066" s="8" t="str">
        <f>"2561402011928"</f>
        <v>2561402011928</v>
      </c>
      <c r="C2066" s="8" t="s">
        <v>8</v>
      </c>
      <c r="D2066" s="9">
        <v>52.84</v>
      </c>
      <c r="E2066" s="8">
        <v>161</v>
      </c>
    </row>
    <row r="2067" s="3" customFormat="1" ht="18.75" spans="1:5">
      <c r="A2067" s="8" t="str">
        <f t="shared" si="37"/>
        <v>250012</v>
      </c>
      <c r="B2067" s="8" t="str">
        <f>"2561402012016"</f>
        <v>2561402012016</v>
      </c>
      <c r="C2067" s="8" t="s">
        <v>8</v>
      </c>
      <c r="D2067" s="9">
        <v>52.83</v>
      </c>
      <c r="E2067" s="8">
        <v>162</v>
      </c>
    </row>
    <row r="2068" s="3" customFormat="1" ht="18.75" spans="1:5">
      <c r="A2068" s="8" t="str">
        <f t="shared" si="37"/>
        <v>250012</v>
      </c>
      <c r="B2068" s="8" t="str">
        <f>"2561402011109"</f>
        <v>2561402011109</v>
      </c>
      <c r="C2068" s="8" t="s">
        <v>8</v>
      </c>
      <c r="D2068" s="9">
        <v>52.74</v>
      </c>
      <c r="E2068" s="8">
        <v>163</v>
      </c>
    </row>
    <row r="2069" s="3" customFormat="1" ht="18.75" spans="1:5">
      <c r="A2069" s="8" t="str">
        <f t="shared" si="37"/>
        <v>250012</v>
      </c>
      <c r="B2069" s="8" t="str">
        <f>"2561402011211"</f>
        <v>2561402011211</v>
      </c>
      <c r="C2069" s="8" t="s">
        <v>8</v>
      </c>
      <c r="D2069" s="9">
        <v>52.73</v>
      </c>
      <c r="E2069" s="8">
        <v>164</v>
      </c>
    </row>
    <row r="2070" s="3" customFormat="1" ht="18.75" spans="1:5">
      <c r="A2070" s="8" t="str">
        <f t="shared" si="37"/>
        <v>250012</v>
      </c>
      <c r="B2070" s="8" t="str">
        <f>"2561402011707"</f>
        <v>2561402011707</v>
      </c>
      <c r="C2070" s="8" t="s">
        <v>8</v>
      </c>
      <c r="D2070" s="9">
        <v>52.54</v>
      </c>
      <c r="E2070" s="8">
        <v>165</v>
      </c>
    </row>
    <row r="2071" s="3" customFormat="1" ht="18.75" spans="1:5">
      <c r="A2071" s="8" t="str">
        <f t="shared" si="37"/>
        <v>250012</v>
      </c>
      <c r="B2071" s="8" t="str">
        <f>"2561402012026"</f>
        <v>2561402012026</v>
      </c>
      <c r="C2071" s="8" t="s">
        <v>8</v>
      </c>
      <c r="D2071" s="9">
        <v>52.49</v>
      </c>
      <c r="E2071" s="8">
        <v>166</v>
      </c>
    </row>
    <row r="2072" s="3" customFormat="1" ht="18.75" spans="1:5">
      <c r="A2072" s="8" t="str">
        <f t="shared" si="37"/>
        <v>250012</v>
      </c>
      <c r="B2072" s="8" t="str">
        <f>"2561402011727"</f>
        <v>2561402011727</v>
      </c>
      <c r="C2072" s="8" t="s">
        <v>8</v>
      </c>
      <c r="D2072" s="9">
        <v>52.47</v>
      </c>
      <c r="E2072" s="8">
        <v>167</v>
      </c>
    </row>
    <row r="2073" s="3" customFormat="1" ht="18.75" spans="1:5">
      <c r="A2073" s="8" t="str">
        <f t="shared" si="37"/>
        <v>250012</v>
      </c>
      <c r="B2073" s="8" t="str">
        <f>"2561402011403"</f>
        <v>2561402011403</v>
      </c>
      <c r="C2073" s="8" t="s">
        <v>8</v>
      </c>
      <c r="D2073" s="9">
        <v>52.38</v>
      </c>
      <c r="E2073" s="8">
        <v>168</v>
      </c>
    </row>
    <row r="2074" s="3" customFormat="1" ht="18.75" spans="1:5">
      <c r="A2074" s="8" t="str">
        <f t="shared" si="37"/>
        <v>250012</v>
      </c>
      <c r="B2074" s="8" t="str">
        <f>"2561402011321"</f>
        <v>2561402011321</v>
      </c>
      <c r="C2074" s="8" t="s">
        <v>8</v>
      </c>
      <c r="D2074" s="9">
        <v>52.37</v>
      </c>
      <c r="E2074" s="8">
        <v>169</v>
      </c>
    </row>
    <row r="2075" s="3" customFormat="1" ht="18.75" spans="1:5">
      <c r="A2075" s="8" t="str">
        <f t="shared" si="37"/>
        <v>250012</v>
      </c>
      <c r="B2075" s="8" t="str">
        <f>"2561402011611"</f>
        <v>2561402011611</v>
      </c>
      <c r="C2075" s="8" t="s">
        <v>8</v>
      </c>
      <c r="D2075" s="9">
        <v>52.32</v>
      </c>
      <c r="E2075" s="8">
        <v>170</v>
      </c>
    </row>
    <row r="2076" s="3" customFormat="1" ht="18.75" spans="1:5">
      <c r="A2076" s="8" t="str">
        <f t="shared" si="37"/>
        <v>250012</v>
      </c>
      <c r="B2076" s="8" t="str">
        <f>"2561402012426"</f>
        <v>2561402012426</v>
      </c>
      <c r="C2076" s="8" t="s">
        <v>8</v>
      </c>
      <c r="D2076" s="9">
        <v>52.32</v>
      </c>
      <c r="E2076" s="8">
        <v>170</v>
      </c>
    </row>
    <row r="2077" s="3" customFormat="1" ht="18.75" spans="1:5">
      <c r="A2077" s="8" t="str">
        <f t="shared" si="37"/>
        <v>250012</v>
      </c>
      <c r="B2077" s="8" t="str">
        <f>"2561402011905"</f>
        <v>2561402011905</v>
      </c>
      <c r="C2077" s="8" t="s">
        <v>8</v>
      </c>
      <c r="D2077" s="9">
        <v>52.24</v>
      </c>
      <c r="E2077" s="8">
        <v>172</v>
      </c>
    </row>
    <row r="2078" s="3" customFormat="1" ht="18.75" spans="1:5">
      <c r="A2078" s="8" t="str">
        <f t="shared" si="37"/>
        <v>250012</v>
      </c>
      <c r="B2078" s="8" t="str">
        <f>"2561402011710"</f>
        <v>2561402011710</v>
      </c>
      <c r="C2078" s="8" t="s">
        <v>8</v>
      </c>
      <c r="D2078" s="9">
        <v>52.17</v>
      </c>
      <c r="E2078" s="8">
        <v>173</v>
      </c>
    </row>
    <row r="2079" s="3" customFormat="1" ht="18.75" spans="1:5">
      <c r="A2079" s="8" t="str">
        <f t="shared" si="37"/>
        <v>250012</v>
      </c>
      <c r="B2079" s="8" t="str">
        <f>"2561402011203"</f>
        <v>2561402011203</v>
      </c>
      <c r="C2079" s="8" t="s">
        <v>8</v>
      </c>
      <c r="D2079" s="9">
        <v>51.74</v>
      </c>
      <c r="E2079" s="8">
        <v>174</v>
      </c>
    </row>
    <row r="2080" s="3" customFormat="1" ht="18.75" spans="1:5">
      <c r="A2080" s="8" t="str">
        <f t="shared" si="37"/>
        <v>250012</v>
      </c>
      <c r="B2080" s="8" t="str">
        <f>"2561402011217"</f>
        <v>2561402011217</v>
      </c>
      <c r="C2080" s="8" t="s">
        <v>8</v>
      </c>
      <c r="D2080" s="9">
        <v>51.74</v>
      </c>
      <c r="E2080" s="8">
        <v>174</v>
      </c>
    </row>
    <row r="2081" s="3" customFormat="1" ht="18.75" spans="1:5">
      <c r="A2081" s="8" t="str">
        <f t="shared" si="37"/>
        <v>250012</v>
      </c>
      <c r="B2081" s="8" t="str">
        <f>"2561402011815"</f>
        <v>2561402011815</v>
      </c>
      <c r="C2081" s="8" t="s">
        <v>8</v>
      </c>
      <c r="D2081" s="9">
        <v>51.7</v>
      </c>
      <c r="E2081" s="8">
        <v>176</v>
      </c>
    </row>
    <row r="2082" s="3" customFormat="1" ht="18.75" spans="1:5">
      <c r="A2082" s="8" t="str">
        <f t="shared" si="37"/>
        <v>250012</v>
      </c>
      <c r="B2082" s="8" t="str">
        <f>"2561402012415"</f>
        <v>2561402012415</v>
      </c>
      <c r="C2082" s="8" t="s">
        <v>8</v>
      </c>
      <c r="D2082" s="9">
        <v>51.64</v>
      </c>
      <c r="E2082" s="8">
        <v>177</v>
      </c>
    </row>
    <row r="2083" s="3" customFormat="1" ht="18.75" spans="1:5">
      <c r="A2083" s="8" t="str">
        <f t="shared" si="37"/>
        <v>250012</v>
      </c>
      <c r="B2083" s="8" t="str">
        <f>"2561402011020"</f>
        <v>2561402011020</v>
      </c>
      <c r="C2083" s="8" t="s">
        <v>8</v>
      </c>
      <c r="D2083" s="9">
        <v>51.41</v>
      </c>
      <c r="E2083" s="8">
        <v>178</v>
      </c>
    </row>
    <row r="2084" s="3" customFormat="1" ht="18.75" spans="1:5">
      <c r="A2084" s="8" t="str">
        <f t="shared" si="37"/>
        <v>250012</v>
      </c>
      <c r="B2084" s="8" t="str">
        <f>"2561402011127"</f>
        <v>2561402011127</v>
      </c>
      <c r="C2084" s="8" t="s">
        <v>8</v>
      </c>
      <c r="D2084" s="9">
        <v>51.38</v>
      </c>
      <c r="E2084" s="8">
        <v>179</v>
      </c>
    </row>
    <row r="2085" s="3" customFormat="1" ht="18.75" spans="1:5">
      <c r="A2085" s="8" t="str">
        <f t="shared" si="37"/>
        <v>250012</v>
      </c>
      <c r="B2085" s="8" t="str">
        <f>"2561402011713"</f>
        <v>2561402011713</v>
      </c>
      <c r="C2085" s="8" t="s">
        <v>8</v>
      </c>
      <c r="D2085" s="9">
        <v>51.35</v>
      </c>
      <c r="E2085" s="8">
        <v>180</v>
      </c>
    </row>
    <row r="2086" s="3" customFormat="1" ht="18.75" spans="1:5">
      <c r="A2086" s="8" t="str">
        <f t="shared" si="37"/>
        <v>250012</v>
      </c>
      <c r="B2086" s="8" t="str">
        <f>"2561402011516"</f>
        <v>2561402011516</v>
      </c>
      <c r="C2086" s="8" t="s">
        <v>8</v>
      </c>
      <c r="D2086" s="9">
        <v>51.22</v>
      </c>
      <c r="E2086" s="8">
        <v>181</v>
      </c>
    </row>
    <row r="2087" s="3" customFormat="1" ht="18.75" spans="1:5">
      <c r="A2087" s="8" t="str">
        <f t="shared" si="37"/>
        <v>250012</v>
      </c>
      <c r="B2087" s="8" t="str">
        <f>"2561402012021"</f>
        <v>2561402012021</v>
      </c>
      <c r="C2087" s="8" t="s">
        <v>8</v>
      </c>
      <c r="D2087" s="9">
        <v>51.22</v>
      </c>
      <c r="E2087" s="8">
        <v>181</v>
      </c>
    </row>
    <row r="2088" s="3" customFormat="1" ht="18.75" spans="1:5">
      <c r="A2088" s="8" t="str">
        <f t="shared" si="37"/>
        <v>250012</v>
      </c>
      <c r="B2088" s="8" t="str">
        <f>"2561402011629"</f>
        <v>2561402011629</v>
      </c>
      <c r="C2088" s="8" t="s">
        <v>8</v>
      </c>
      <c r="D2088" s="9">
        <v>51.03</v>
      </c>
      <c r="E2088" s="8">
        <v>183</v>
      </c>
    </row>
    <row r="2089" s="3" customFormat="1" ht="18.75" spans="1:5">
      <c r="A2089" s="8" t="str">
        <f t="shared" si="37"/>
        <v>250012</v>
      </c>
      <c r="B2089" s="8" t="str">
        <f>"2561402011626"</f>
        <v>2561402011626</v>
      </c>
      <c r="C2089" s="8" t="s">
        <v>8</v>
      </c>
      <c r="D2089" s="9">
        <v>51</v>
      </c>
      <c r="E2089" s="8">
        <v>184</v>
      </c>
    </row>
    <row r="2090" s="3" customFormat="1" ht="18.75" spans="1:5">
      <c r="A2090" s="8" t="str">
        <f t="shared" si="37"/>
        <v>250012</v>
      </c>
      <c r="B2090" s="8" t="str">
        <f>"2561402012323"</f>
        <v>2561402012323</v>
      </c>
      <c r="C2090" s="8" t="s">
        <v>8</v>
      </c>
      <c r="D2090" s="9">
        <v>50.96</v>
      </c>
      <c r="E2090" s="8">
        <v>185</v>
      </c>
    </row>
    <row r="2091" s="3" customFormat="1" ht="18.75" spans="1:5">
      <c r="A2091" s="8" t="str">
        <f t="shared" si="37"/>
        <v>250012</v>
      </c>
      <c r="B2091" s="8" t="str">
        <f>"2561402012011"</f>
        <v>2561402012011</v>
      </c>
      <c r="C2091" s="8" t="s">
        <v>8</v>
      </c>
      <c r="D2091" s="9">
        <v>50.87</v>
      </c>
      <c r="E2091" s="8">
        <v>186</v>
      </c>
    </row>
    <row r="2092" s="3" customFormat="1" ht="18.75" spans="1:5">
      <c r="A2092" s="8" t="str">
        <f t="shared" si="37"/>
        <v>250012</v>
      </c>
      <c r="B2092" s="8" t="str">
        <f>"2561402011927"</f>
        <v>2561402011927</v>
      </c>
      <c r="C2092" s="8" t="s">
        <v>8</v>
      </c>
      <c r="D2092" s="9">
        <v>50.83</v>
      </c>
      <c r="E2092" s="8">
        <v>187</v>
      </c>
    </row>
    <row r="2093" s="3" customFormat="1" ht="18.75" spans="1:5">
      <c r="A2093" s="8" t="str">
        <f t="shared" si="37"/>
        <v>250012</v>
      </c>
      <c r="B2093" s="8" t="str">
        <f>"2561402011118"</f>
        <v>2561402011118</v>
      </c>
      <c r="C2093" s="8" t="s">
        <v>8</v>
      </c>
      <c r="D2093" s="9">
        <v>50.77</v>
      </c>
      <c r="E2093" s="8">
        <v>188</v>
      </c>
    </row>
    <row r="2094" s="3" customFormat="1" ht="18.75" spans="1:5">
      <c r="A2094" s="8" t="str">
        <f t="shared" si="37"/>
        <v>250012</v>
      </c>
      <c r="B2094" s="8" t="str">
        <f>"2561402011423"</f>
        <v>2561402011423</v>
      </c>
      <c r="C2094" s="8" t="s">
        <v>8</v>
      </c>
      <c r="D2094" s="9">
        <v>50.41</v>
      </c>
      <c r="E2094" s="8">
        <v>189</v>
      </c>
    </row>
    <row r="2095" s="3" customFormat="1" ht="18.75" spans="1:5">
      <c r="A2095" s="8" t="str">
        <f t="shared" si="37"/>
        <v>250012</v>
      </c>
      <c r="B2095" s="8" t="str">
        <f>"2561402012404"</f>
        <v>2561402012404</v>
      </c>
      <c r="C2095" s="8" t="s">
        <v>8</v>
      </c>
      <c r="D2095" s="9">
        <v>50.16</v>
      </c>
      <c r="E2095" s="8">
        <v>190</v>
      </c>
    </row>
    <row r="2096" s="3" customFormat="1" ht="18.75" spans="1:5">
      <c r="A2096" s="8" t="str">
        <f t="shared" si="37"/>
        <v>250012</v>
      </c>
      <c r="B2096" s="8" t="str">
        <f>"2561402011328"</f>
        <v>2561402011328</v>
      </c>
      <c r="C2096" s="8" t="s">
        <v>8</v>
      </c>
      <c r="D2096" s="9">
        <v>49.77</v>
      </c>
      <c r="E2096" s="8">
        <v>191</v>
      </c>
    </row>
    <row r="2097" s="3" customFormat="1" ht="18.75" spans="1:5">
      <c r="A2097" s="8" t="str">
        <f t="shared" si="37"/>
        <v>250012</v>
      </c>
      <c r="B2097" s="8" t="str">
        <f>"2561402011327"</f>
        <v>2561402011327</v>
      </c>
      <c r="C2097" s="8" t="s">
        <v>8</v>
      </c>
      <c r="D2097" s="9">
        <v>49.76</v>
      </c>
      <c r="E2097" s="8">
        <v>192</v>
      </c>
    </row>
    <row r="2098" s="3" customFormat="1" ht="18.75" spans="1:5">
      <c r="A2098" s="8" t="str">
        <f t="shared" ref="A2098:A2161" si="38">"250012"</f>
        <v>250012</v>
      </c>
      <c r="B2098" s="8" t="str">
        <f>"2561402012219"</f>
        <v>2561402012219</v>
      </c>
      <c r="C2098" s="8" t="s">
        <v>8</v>
      </c>
      <c r="D2098" s="9">
        <v>49.74</v>
      </c>
      <c r="E2098" s="8">
        <v>193</v>
      </c>
    </row>
    <row r="2099" s="3" customFormat="1" ht="18.75" spans="1:5">
      <c r="A2099" s="8" t="str">
        <f t="shared" si="38"/>
        <v>250012</v>
      </c>
      <c r="B2099" s="8" t="str">
        <f>"2561402011924"</f>
        <v>2561402011924</v>
      </c>
      <c r="C2099" s="8" t="s">
        <v>8</v>
      </c>
      <c r="D2099" s="9">
        <v>49.71</v>
      </c>
      <c r="E2099" s="8">
        <v>194</v>
      </c>
    </row>
    <row r="2100" s="3" customFormat="1" ht="18.75" spans="1:5">
      <c r="A2100" s="8" t="str">
        <f t="shared" si="38"/>
        <v>250012</v>
      </c>
      <c r="B2100" s="8" t="str">
        <f>"2561402012119"</f>
        <v>2561402012119</v>
      </c>
      <c r="C2100" s="8" t="s">
        <v>8</v>
      </c>
      <c r="D2100" s="9">
        <v>49.64</v>
      </c>
      <c r="E2100" s="8">
        <v>195</v>
      </c>
    </row>
    <row r="2101" s="3" customFormat="1" ht="18.75" spans="1:5">
      <c r="A2101" s="8" t="str">
        <f t="shared" si="38"/>
        <v>250012</v>
      </c>
      <c r="B2101" s="8" t="str">
        <f>"2561402011307"</f>
        <v>2561402011307</v>
      </c>
      <c r="C2101" s="8" t="s">
        <v>8</v>
      </c>
      <c r="D2101" s="9">
        <v>49.49</v>
      </c>
      <c r="E2101" s="8">
        <v>196</v>
      </c>
    </row>
    <row r="2102" s="3" customFormat="1" ht="18.75" spans="1:5">
      <c r="A2102" s="8" t="str">
        <f t="shared" si="38"/>
        <v>250012</v>
      </c>
      <c r="B2102" s="8" t="str">
        <f>"2561402011929"</f>
        <v>2561402011929</v>
      </c>
      <c r="C2102" s="8" t="s">
        <v>8</v>
      </c>
      <c r="D2102" s="9">
        <v>49.48</v>
      </c>
      <c r="E2102" s="8">
        <v>197</v>
      </c>
    </row>
    <row r="2103" s="3" customFormat="1" ht="18.75" spans="1:5">
      <c r="A2103" s="8" t="str">
        <f t="shared" si="38"/>
        <v>250012</v>
      </c>
      <c r="B2103" s="8" t="str">
        <f>"2561402012230"</f>
        <v>2561402012230</v>
      </c>
      <c r="C2103" s="8" t="s">
        <v>8</v>
      </c>
      <c r="D2103" s="9">
        <v>49.44</v>
      </c>
      <c r="E2103" s="8">
        <v>198</v>
      </c>
    </row>
    <row r="2104" s="3" customFormat="1" ht="18.75" spans="1:5">
      <c r="A2104" s="8" t="str">
        <f t="shared" si="38"/>
        <v>250012</v>
      </c>
      <c r="B2104" s="8" t="str">
        <f>"2561402012409"</f>
        <v>2561402012409</v>
      </c>
      <c r="C2104" s="8" t="s">
        <v>8</v>
      </c>
      <c r="D2104" s="9">
        <v>49.24</v>
      </c>
      <c r="E2104" s="8">
        <v>199</v>
      </c>
    </row>
    <row r="2105" s="3" customFormat="1" ht="18.75" spans="1:5">
      <c r="A2105" s="8" t="str">
        <f t="shared" si="38"/>
        <v>250012</v>
      </c>
      <c r="B2105" s="8" t="str">
        <f>"2561402011602"</f>
        <v>2561402011602</v>
      </c>
      <c r="C2105" s="8" t="s">
        <v>8</v>
      </c>
      <c r="D2105" s="9">
        <v>49.17</v>
      </c>
      <c r="E2105" s="8">
        <v>200</v>
      </c>
    </row>
    <row r="2106" s="3" customFormat="1" ht="18.75" spans="1:5">
      <c r="A2106" s="8" t="str">
        <f t="shared" si="38"/>
        <v>250012</v>
      </c>
      <c r="B2106" s="8" t="str">
        <f>"2561402011316"</f>
        <v>2561402011316</v>
      </c>
      <c r="C2106" s="8" t="s">
        <v>8</v>
      </c>
      <c r="D2106" s="9">
        <v>49.11</v>
      </c>
      <c r="E2106" s="8">
        <v>201</v>
      </c>
    </row>
    <row r="2107" s="3" customFormat="1" ht="18.75" spans="1:5">
      <c r="A2107" s="8" t="str">
        <f t="shared" si="38"/>
        <v>250012</v>
      </c>
      <c r="B2107" s="8" t="str">
        <f>"2561402012306"</f>
        <v>2561402012306</v>
      </c>
      <c r="C2107" s="8" t="s">
        <v>8</v>
      </c>
      <c r="D2107" s="9">
        <v>49.03</v>
      </c>
      <c r="E2107" s="8">
        <v>202</v>
      </c>
    </row>
    <row r="2108" s="3" customFormat="1" ht="18.75" spans="1:5">
      <c r="A2108" s="8" t="str">
        <f t="shared" si="38"/>
        <v>250012</v>
      </c>
      <c r="B2108" s="8" t="str">
        <f>"2561402012103"</f>
        <v>2561402012103</v>
      </c>
      <c r="C2108" s="8" t="s">
        <v>8</v>
      </c>
      <c r="D2108" s="9">
        <v>48.97</v>
      </c>
      <c r="E2108" s="8">
        <v>203</v>
      </c>
    </row>
    <row r="2109" s="3" customFormat="1" ht="18.75" spans="1:5">
      <c r="A2109" s="8" t="str">
        <f t="shared" si="38"/>
        <v>250012</v>
      </c>
      <c r="B2109" s="8" t="str">
        <f>"2561402011528"</f>
        <v>2561402011528</v>
      </c>
      <c r="C2109" s="8" t="s">
        <v>8</v>
      </c>
      <c r="D2109" s="9">
        <v>48.61</v>
      </c>
      <c r="E2109" s="8">
        <v>204</v>
      </c>
    </row>
    <row r="2110" s="3" customFormat="1" ht="18.75" spans="1:5">
      <c r="A2110" s="8" t="str">
        <f t="shared" si="38"/>
        <v>250012</v>
      </c>
      <c r="B2110" s="8" t="str">
        <f>"2561402011529"</f>
        <v>2561402011529</v>
      </c>
      <c r="C2110" s="8" t="s">
        <v>8</v>
      </c>
      <c r="D2110" s="9">
        <v>48.4</v>
      </c>
      <c r="E2110" s="8">
        <v>205</v>
      </c>
    </row>
    <row r="2111" s="3" customFormat="1" ht="18.75" spans="1:5">
      <c r="A2111" s="8" t="str">
        <f t="shared" si="38"/>
        <v>250012</v>
      </c>
      <c r="B2111" s="8" t="str">
        <f>"2561402011703"</f>
        <v>2561402011703</v>
      </c>
      <c r="C2111" s="8" t="s">
        <v>8</v>
      </c>
      <c r="D2111" s="9">
        <v>48.34</v>
      </c>
      <c r="E2111" s="8">
        <v>206</v>
      </c>
    </row>
    <row r="2112" s="3" customFormat="1" ht="18.75" spans="1:5">
      <c r="A2112" s="8" t="str">
        <f t="shared" si="38"/>
        <v>250012</v>
      </c>
      <c r="B2112" s="8" t="str">
        <f>"2561402011527"</f>
        <v>2561402011527</v>
      </c>
      <c r="C2112" s="8" t="s">
        <v>8</v>
      </c>
      <c r="D2112" s="9">
        <v>48.16</v>
      </c>
      <c r="E2112" s="8">
        <v>207</v>
      </c>
    </row>
    <row r="2113" s="3" customFormat="1" ht="18.75" spans="1:5">
      <c r="A2113" s="8" t="str">
        <f t="shared" si="38"/>
        <v>250012</v>
      </c>
      <c r="B2113" s="8" t="str">
        <f>"2561402011712"</f>
        <v>2561402011712</v>
      </c>
      <c r="C2113" s="8" t="s">
        <v>8</v>
      </c>
      <c r="D2113" s="9">
        <v>48.13</v>
      </c>
      <c r="E2113" s="8">
        <v>208</v>
      </c>
    </row>
    <row r="2114" s="3" customFormat="1" ht="18.75" spans="1:5">
      <c r="A2114" s="8" t="str">
        <f t="shared" si="38"/>
        <v>250012</v>
      </c>
      <c r="B2114" s="8" t="str">
        <f>"2561402011408"</f>
        <v>2561402011408</v>
      </c>
      <c r="C2114" s="8" t="s">
        <v>8</v>
      </c>
      <c r="D2114" s="9">
        <v>48.05</v>
      </c>
      <c r="E2114" s="8">
        <v>209</v>
      </c>
    </row>
    <row r="2115" s="3" customFormat="1" ht="18.75" spans="1:5">
      <c r="A2115" s="8" t="str">
        <f t="shared" si="38"/>
        <v>250012</v>
      </c>
      <c r="B2115" s="8" t="str">
        <f>"2561402012126"</f>
        <v>2561402012126</v>
      </c>
      <c r="C2115" s="8" t="s">
        <v>8</v>
      </c>
      <c r="D2115" s="9">
        <v>48.03</v>
      </c>
      <c r="E2115" s="8">
        <v>210</v>
      </c>
    </row>
    <row r="2116" s="3" customFormat="1" ht="18.75" spans="1:5">
      <c r="A2116" s="8" t="str">
        <f t="shared" si="38"/>
        <v>250012</v>
      </c>
      <c r="B2116" s="8" t="str">
        <f>"2561402012309"</f>
        <v>2561402012309</v>
      </c>
      <c r="C2116" s="8" t="s">
        <v>8</v>
      </c>
      <c r="D2116" s="9">
        <v>47.85</v>
      </c>
      <c r="E2116" s="8">
        <v>211</v>
      </c>
    </row>
    <row r="2117" s="3" customFormat="1" ht="18.75" spans="1:5">
      <c r="A2117" s="8" t="str">
        <f t="shared" si="38"/>
        <v>250012</v>
      </c>
      <c r="B2117" s="8" t="str">
        <f>"2561402011907"</f>
        <v>2561402011907</v>
      </c>
      <c r="C2117" s="8" t="s">
        <v>8</v>
      </c>
      <c r="D2117" s="9">
        <v>47.38</v>
      </c>
      <c r="E2117" s="8">
        <v>212</v>
      </c>
    </row>
    <row r="2118" s="3" customFormat="1" ht="18.75" spans="1:5">
      <c r="A2118" s="8" t="str">
        <f t="shared" si="38"/>
        <v>250012</v>
      </c>
      <c r="B2118" s="8" t="str">
        <f>"2561402011914"</f>
        <v>2561402011914</v>
      </c>
      <c r="C2118" s="8" t="s">
        <v>8</v>
      </c>
      <c r="D2118" s="9">
        <v>47.32</v>
      </c>
      <c r="E2118" s="8">
        <v>213</v>
      </c>
    </row>
    <row r="2119" s="3" customFormat="1" ht="18.75" spans="1:5">
      <c r="A2119" s="8" t="str">
        <f t="shared" si="38"/>
        <v>250012</v>
      </c>
      <c r="B2119" s="8" t="str">
        <f>"2561402011120"</f>
        <v>2561402011120</v>
      </c>
      <c r="C2119" s="8" t="s">
        <v>8</v>
      </c>
      <c r="D2119" s="9">
        <v>47.29</v>
      </c>
      <c r="E2119" s="8">
        <v>214</v>
      </c>
    </row>
    <row r="2120" s="3" customFormat="1" ht="18.75" spans="1:5">
      <c r="A2120" s="8" t="str">
        <f t="shared" si="38"/>
        <v>250012</v>
      </c>
      <c r="B2120" s="8" t="str">
        <f>"2561402011705"</f>
        <v>2561402011705</v>
      </c>
      <c r="C2120" s="8" t="s">
        <v>8</v>
      </c>
      <c r="D2120" s="9">
        <v>45.82</v>
      </c>
      <c r="E2120" s="8">
        <v>215</v>
      </c>
    </row>
    <row r="2121" s="3" customFormat="1" ht="18.75" spans="1:5">
      <c r="A2121" s="8" t="str">
        <f t="shared" si="38"/>
        <v>250012</v>
      </c>
      <c r="B2121" s="8" t="str">
        <f>"2561402012023"</f>
        <v>2561402012023</v>
      </c>
      <c r="C2121" s="8" t="s">
        <v>8</v>
      </c>
      <c r="D2121" s="9">
        <v>45.56</v>
      </c>
      <c r="E2121" s="8">
        <v>216</v>
      </c>
    </row>
    <row r="2122" s="3" customFormat="1" ht="18.75" spans="1:5">
      <c r="A2122" s="8" t="str">
        <f t="shared" si="38"/>
        <v>250012</v>
      </c>
      <c r="B2122" s="8" t="str">
        <f>"2561402012025"</f>
        <v>2561402012025</v>
      </c>
      <c r="C2122" s="8" t="s">
        <v>8</v>
      </c>
      <c r="D2122" s="9">
        <v>45.48</v>
      </c>
      <c r="E2122" s="8">
        <v>217</v>
      </c>
    </row>
    <row r="2123" s="3" customFormat="1" ht="18.75" spans="1:5">
      <c r="A2123" s="8" t="str">
        <f t="shared" si="38"/>
        <v>250012</v>
      </c>
      <c r="B2123" s="8" t="str">
        <f>"2561402011429"</f>
        <v>2561402011429</v>
      </c>
      <c r="C2123" s="8" t="s">
        <v>8</v>
      </c>
      <c r="D2123" s="9">
        <v>45.28</v>
      </c>
      <c r="E2123" s="8">
        <v>218</v>
      </c>
    </row>
    <row r="2124" s="3" customFormat="1" ht="18.75" spans="1:5">
      <c r="A2124" s="8" t="str">
        <f t="shared" si="38"/>
        <v>250012</v>
      </c>
      <c r="B2124" s="8" t="str">
        <f>"2561402011724"</f>
        <v>2561402011724</v>
      </c>
      <c r="C2124" s="8" t="s">
        <v>8</v>
      </c>
      <c r="D2124" s="9">
        <v>45.07</v>
      </c>
      <c r="E2124" s="8">
        <v>219</v>
      </c>
    </row>
    <row r="2125" s="3" customFormat="1" ht="18.75" spans="1:5">
      <c r="A2125" s="8" t="str">
        <f t="shared" si="38"/>
        <v>250012</v>
      </c>
      <c r="B2125" s="8" t="str">
        <f>"2561402011308"</f>
        <v>2561402011308</v>
      </c>
      <c r="C2125" s="8" t="s">
        <v>8</v>
      </c>
      <c r="D2125" s="9">
        <v>44.83</v>
      </c>
      <c r="E2125" s="8">
        <v>220</v>
      </c>
    </row>
    <row r="2126" s="3" customFormat="1" ht="18.75" spans="1:5">
      <c r="A2126" s="8" t="str">
        <f t="shared" si="38"/>
        <v>250012</v>
      </c>
      <c r="B2126" s="8" t="str">
        <f>"2561402011823"</f>
        <v>2561402011823</v>
      </c>
      <c r="C2126" s="8" t="s">
        <v>8</v>
      </c>
      <c r="D2126" s="9">
        <v>44.56</v>
      </c>
      <c r="E2126" s="8">
        <v>221</v>
      </c>
    </row>
    <row r="2127" s="3" customFormat="1" ht="18.75" spans="1:5">
      <c r="A2127" s="8" t="str">
        <f t="shared" si="38"/>
        <v>250012</v>
      </c>
      <c r="B2127" s="8" t="str">
        <f>"2561402011310"</f>
        <v>2561402011310</v>
      </c>
      <c r="C2127" s="8" t="s">
        <v>8</v>
      </c>
      <c r="D2127" s="9">
        <v>44.32</v>
      </c>
      <c r="E2127" s="8">
        <v>222</v>
      </c>
    </row>
    <row r="2128" s="3" customFormat="1" ht="18.75" spans="1:5">
      <c r="A2128" s="8" t="str">
        <f t="shared" si="38"/>
        <v>250012</v>
      </c>
      <c r="B2128" s="8" t="str">
        <f>"2561402011416"</f>
        <v>2561402011416</v>
      </c>
      <c r="C2128" s="8" t="s">
        <v>8</v>
      </c>
      <c r="D2128" s="9">
        <v>43.97</v>
      </c>
      <c r="E2128" s="8">
        <v>223</v>
      </c>
    </row>
    <row r="2129" s="3" customFormat="1" ht="18.75" spans="1:5">
      <c r="A2129" s="8" t="str">
        <f t="shared" si="38"/>
        <v>250012</v>
      </c>
      <c r="B2129" s="8" t="str">
        <f>"2561402011510"</f>
        <v>2561402011510</v>
      </c>
      <c r="C2129" s="8" t="s">
        <v>8</v>
      </c>
      <c r="D2129" s="9">
        <v>43.38</v>
      </c>
      <c r="E2129" s="8">
        <v>224</v>
      </c>
    </row>
    <row r="2130" s="3" customFormat="1" ht="18.75" spans="1:5">
      <c r="A2130" s="8" t="str">
        <f t="shared" si="38"/>
        <v>250012</v>
      </c>
      <c r="B2130" s="8" t="str">
        <f>"2561402011702"</f>
        <v>2561402011702</v>
      </c>
      <c r="C2130" s="8" t="s">
        <v>8</v>
      </c>
      <c r="D2130" s="9">
        <v>43.19</v>
      </c>
      <c r="E2130" s="8">
        <v>225</v>
      </c>
    </row>
    <row r="2131" s="3" customFormat="1" ht="18.75" spans="1:5">
      <c r="A2131" s="8" t="str">
        <f t="shared" si="38"/>
        <v>250012</v>
      </c>
      <c r="B2131" s="8" t="str">
        <f>"2561402011830"</f>
        <v>2561402011830</v>
      </c>
      <c r="C2131" s="8" t="s">
        <v>8</v>
      </c>
      <c r="D2131" s="9">
        <v>43.19</v>
      </c>
      <c r="E2131" s="8">
        <v>225</v>
      </c>
    </row>
    <row r="2132" s="3" customFormat="1" ht="18.75" spans="1:5">
      <c r="A2132" s="8" t="str">
        <f t="shared" si="38"/>
        <v>250012</v>
      </c>
      <c r="B2132" s="8" t="str">
        <f>"2561402011922"</f>
        <v>2561402011922</v>
      </c>
      <c r="C2132" s="8" t="s">
        <v>8</v>
      </c>
      <c r="D2132" s="9">
        <v>43</v>
      </c>
      <c r="E2132" s="8">
        <v>227</v>
      </c>
    </row>
    <row r="2133" s="3" customFormat="1" ht="18.75" spans="1:5">
      <c r="A2133" s="8" t="str">
        <f t="shared" si="38"/>
        <v>250012</v>
      </c>
      <c r="B2133" s="8" t="str">
        <f>"2561402011811"</f>
        <v>2561402011811</v>
      </c>
      <c r="C2133" s="8" t="s">
        <v>8</v>
      </c>
      <c r="D2133" s="9">
        <v>42.76</v>
      </c>
      <c r="E2133" s="8">
        <v>228</v>
      </c>
    </row>
    <row r="2134" s="3" customFormat="1" ht="18.75" spans="1:5">
      <c r="A2134" s="8" t="str">
        <f t="shared" si="38"/>
        <v>250012</v>
      </c>
      <c r="B2134" s="8" t="str">
        <f>"2561402011918"</f>
        <v>2561402011918</v>
      </c>
      <c r="C2134" s="8" t="s">
        <v>8</v>
      </c>
      <c r="D2134" s="9">
        <v>42.66</v>
      </c>
      <c r="E2134" s="8">
        <v>229</v>
      </c>
    </row>
    <row r="2135" s="3" customFormat="1" ht="18.75" spans="1:5">
      <c r="A2135" s="8" t="str">
        <f t="shared" si="38"/>
        <v>250012</v>
      </c>
      <c r="B2135" s="8" t="str">
        <f>"2561402011318"</f>
        <v>2561402011318</v>
      </c>
      <c r="C2135" s="8" t="s">
        <v>8</v>
      </c>
      <c r="D2135" s="9">
        <v>42.42</v>
      </c>
      <c r="E2135" s="8">
        <v>230</v>
      </c>
    </row>
    <row r="2136" s="3" customFormat="1" ht="18.75" spans="1:5">
      <c r="A2136" s="8" t="str">
        <f t="shared" si="38"/>
        <v>250012</v>
      </c>
      <c r="B2136" s="8" t="str">
        <f>"2561402011412"</f>
        <v>2561402011412</v>
      </c>
      <c r="C2136" s="8" t="s">
        <v>8</v>
      </c>
      <c r="D2136" s="9">
        <v>42.4</v>
      </c>
      <c r="E2136" s="8">
        <v>231</v>
      </c>
    </row>
    <row r="2137" s="3" customFormat="1" ht="18.75" spans="1:5">
      <c r="A2137" s="8" t="str">
        <f t="shared" si="38"/>
        <v>250012</v>
      </c>
      <c r="B2137" s="8" t="str">
        <f>"2561402011708"</f>
        <v>2561402011708</v>
      </c>
      <c r="C2137" s="8" t="s">
        <v>8</v>
      </c>
      <c r="D2137" s="9">
        <v>42.34</v>
      </c>
      <c r="E2137" s="8">
        <v>232</v>
      </c>
    </row>
    <row r="2138" s="3" customFormat="1" ht="18.75" spans="1:5">
      <c r="A2138" s="8" t="str">
        <f t="shared" si="38"/>
        <v>250012</v>
      </c>
      <c r="B2138" s="8" t="str">
        <f>"2561402012110"</f>
        <v>2561402012110</v>
      </c>
      <c r="C2138" s="8" t="s">
        <v>8</v>
      </c>
      <c r="D2138" s="9">
        <v>42.2</v>
      </c>
      <c r="E2138" s="8">
        <v>233</v>
      </c>
    </row>
    <row r="2139" s="3" customFormat="1" ht="18.75" spans="1:5">
      <c r="A2139" s="8" t="str">
        <f t="shared" si="38"/>
        <v>250012</v>
      </c>
      <c r="B2139" s="8" t="str">
        <f>"2561402011826"</f>
        <v>2561402011826</v>
      </c>
      <c r="C2139" s="8" t="s">
        <v>8</v>
      </c>
      <c r="D2139" s="9">
        <v>42.15</v>
      </c>
      <c r="E2139" s="8">
        <v>234</v>
      </c>
    </row>
    <row r="2140" s="3" customFormat="1" ht="18.75" spans="1:5">
      <c r="A2140" s="8" t="str">
        <f t="shared" si="38"/>
        <v>250012</v>
      </c>
      <c r="B2140" s="8" t="str">
        <f>"2561402011024"</f>
        <v>2561402011024</v>
      </c>
      <c r="C2140" s="8" t="s">
        <v>8</v>
      </c>
      <c r="D2140" s="9">
        <v>41.84</v>
      </c>
      <c r="E2140" s="8">
        <v>235</v>
      </c>
    </row>
    <row r="2141" s="3" customFormat="1" ht="18.75" spans="1:5">
      <c r="A2141" s="8" t="str">
        <f t="shared" si="38"/>
        <v>250012</v>
      </c>
      <c r="B2141" s="8" t="str">
        <f>"2561402012211"</f>
        <v>2561402012211</v>
      </c>
      <c r="C2141" s="8" t="s">
        <v>8</v>
      </c>
      <c r="D2141" s="9">
        <v>41.8</v>
      </c>
      <c r="E2141" s="8">
        <v>236</v>
      </c>
    </row>
    <row r="2142" s="3" customFormat="1" ht="18.75" spans="1:5">
      <c r="A2142" s="8" t="str">
        <f t="shared" si="38"/>
        <v>250012</v>
      </c>
      <c r="B2142" s="8" t="str">
        <f>"2561402011824"</f>
        <v>2561402011824</v>
      </c>
      <c r="C2142" s="8" t="s">
        <v>8</v>
      </c>
      <c r="D2142" s="9">
        <v>41.59</v>
      </c>
      <c r="E2142" s="8">
        <v>237</v>
      </c>
    </row>
    <row r="2143" s="3" customFormat="1" ht="18.75" spans="1:5">
      <c r="A2143" s="8" t="str">
        <f t="shared" si="38"/>
        <v>250012</v>
      </c>
      <c r="B2143" s="8" t="str">
        <f>"2561402011229"</f>
        <v>2561402011229</v>
      </c>
      <c r="C2143" s="8" t="s">
        <v>8</v>
      </c>
      <c r="D2143" s="9">
        <v>39.85</v>
      </c>
      <c r="E2143" s="8">
        <v>238</v>
      </c>
    </row>
    <row r="2144" s="3" customFormat="1" ht="18.75" spans="1:5">
      <c r="A2144" s="8" t="str">
        <f t="shared" si="38"/>
        <v>250012</v>
      </c>
      <c r="B2144" s="8" t="str">
        <f>"2561402011303"</f>
        <v>2561402011303</v>
      </c>
      <c r="C2144" s="8" t="s">
        <v>8</v>
      </c>
      <c r="D2144" s="9">
        <v>39.14</v>
      </c>
      <c r="E2144" s="8">
        <v>239</v>
      </c>
    </row>
    <row r="2145" s="3" customFormat="1" ht="18.75" spans="1:5">
      <c r="A2145" s="8" t="str">
        <f t="shared" si="38"/>
        <v>250012</v>
      </c>
      <c r="B2145" s="8" t="str">
        <f>"2561402011502"</f>
        <v>2561402011502</v>
      </c>
      <c r="C2145" s="8" t="s">
        <v>8</v>
      </c>
      <c r="D2145" s="9">
        <v>37.69</v>
      </c>
      <c r="E2145" s="8">
        <v>240</v>
      </c>
    </row>
    <row r="2146" s="3" customFormat="1" ht="18.75" spans="1:5">
      <c r="A2146" s="8" t="str">
        <f t="shared" si="38"/>
        <v>250012</v>
      </c>
      <c r="B2146" s="8" t="str">
        <f>"2561402011919"</f>
        <v>2561402011919</v>
      </c>
      <c r="C2146" s="8" t="s">
        <v>8</v>
      </c>
      <c r="D2146" s="9">
        <v>37.09</v>
      </c>
      <c r="E2146" s="8">
        <v>241</v>
      </c>
    </row>
    <row r="2147" s="3" customFormat="1" ht="18.75" spans="1:5">
      <c r="A2147" s="8" t="str">
        <f t="shared" si="38"/>
        <v>250012</v>
      </c>
      <c r="B2147" s="8" t="str">
        <f>"2561402011306"</f>
        <v>2561402011306</v>
      </c>
      <c r="C2147" s="8" t="s">
        <v>8</v>
      </c>
      <c r="D2147" s="9">
        <v>36.86</v>
      </c>
      <c r="E2147" s="8">
        <v>242</v>
      </c>
    </row>
    <row r="2148" s="3" customFormat="1" ht="18.75" spans="1:5">
      <c r="A2148" s="8" t="str">
        <f t="shared" si="38"/>
        <v>250012</v>
      </c>
      <c r="B2148" s="8" t="str">
        <f>"2561402012118"</f>
        <v>2561402012118</v>
      </c>
      <c r="C2148" s="8" t="s">
        <v>8</v>
      </c>
      <c r="D2148" s="9">
        <v>36.81</v>
      </c>
      <c r="E2148" s="8">
        <v>243</v>
      </c>
    </row>
    <row r="2149" s="3" customFormat="1" ht="18.75" spans="1:5">
      <c r="A2149" s="8" t="str">
        <f t="shared" si="38"/>
        <v>250012</v>
      </c>
      <c r="B2149" s="8" t="str">
        <f>"2561402012029"</f>
        <v>2561402012029</v>
      </c>
      <c r="C2149" s="8" t="s">
        <v>8</v>
      </c>
      <c r="D2149" s="9">
        <v>34.82</v>
      </c>
      <c r="E2149" s="8">
        <v>244</v>
      </c>
    </row>
    <row r="2150" s="3" customFormat="1" ht="18.75" spans="1:5">
      <c r="A2150" s="8" t="str">
        <f t="shared" si="38"/>
        <v>250012</v>
      </c>
      <c r="B2150" s="8" t="str">
        <f>"2561402011302"</f>
        <v>2561402011302</v>
      </c>
      <c r="C2150" s="8" t="s">
        <v>8</v>
      </c>
      <c r="D2150" s="9">
        <v>33.51</v>
      </c>
      <c r="E2150" s="8">
        <v>245</v>
      </c>
    </row>
    <row r="2151" s="3" customFormat="1" ht="18.75" spans="1:5">
      <c r="A2151" s="8" t="str">
        <f t="shared" si="38"/>
        <v>250012</v>
      </c>
      <c r="B2151" s="8" t="str">
        <f>"2561402012416"</f>
        <v>2561402012416</v>
      </c>
      <c r="C2151" s="8" t="s">
        <v>8</v>
      </c>
      <c r="D2151" s="9">
        <v>32.39</v>
      </c>
      <c r="E2151" s="8">
        <v>246</v>
      </c>
    </row>
    <row r="2152" s="3" customFormat="1" ht="18.75" spans="1:5">
      <c r="A2152" s="8" t="str">
        <f t="shared" si="38"/>
        <v>250012</v>
      </c>
      <c r="B2152" s="8" t="str">
        <f>"2561402011630"</f>
        <v>2561402011630</v>
      </c>
      <c r="C2152" s="8" t="s">
        <v>8</v>
      </c>
      <c r="D2152" s="9">
        <v>31.13</v>
      </c>
      <c r="E2152" s="8">
        <v>247</v>
      </c>
    </row>
    <row r="2153" s="3" customFormat="1" ht="18.75" spans="1:5">
      <c r="A2153" s="8" t="str">
        <f t="shared" si="38"/>
        <v>250012</v>
      </c>
      <c r="B2153" s="8" t="str">
        <f>"2561402011130"</f>
        <v>2561402011130</v>
      </c>
      <c r="C2153" s="8" t="s">
        <v>8</v>
      </c>
      <c r="D2153" s="9">
        <v>30.26</v>
      </c>
      <c r="E2153" s="8">
        <v>248</v>
      </c>
    </row>
    <row r="2154" s="3" customFormat="1" ht="18.75" spans="1:5">
      <c r="A2154" s="8" t="str">
        <f t="shared" si="38"/>
        <v>250012</v>
      </c>
      <c r="B2154" s="8" t="str">
        <f>"2561402012207"</f>
        <v>2561402012207</v>
      </c>
      <c r="C2154" s="8" t="s">
        <v>8</v>
      </c>
      <c r="D2154" s="9">
        <v>30.01</v>
      </c>
      <c r="E2154" s="8">
        <v>249</v>
      </c>
    </row>
    <row r="2155" s="3" customFormat="1" ht="18.75" spans="1:5">
      <c r="A2155" s="8" t="str">
        <f t="shared" si="38"/>
        <v>250012</v>
      </c>
      <c r="B2155" s="8" t="str">
        <f>"2561402012315"</f>
        <v>2561402012315</v>
      </c>
      <c r="C2155" s="8" t="s">
        <v>8</v>
      </c>
      <c r="D2155" s="9">
        <v>30</v>
      </c>
      <c r="E2155" s="8">
        <v>250</v>
      </c>
    </row>
    <row r="2156" s="3" customFormat="1" ht="18.75" spans="1:5">
      <c r="A2156" s="8" t="str">
        <f t="shared" si="38"/>
        <v>250012</v>
      </c>
      <c r="B2156" s="8" t="str">
        <f>"2561402011801"</f>
        <v>2561402011801</v>
      </c>
      <c r="C2156" s="8" t="s">
        <v>8</v>
      </c>
      <c r="D2156" s="9">
        <v>27.79</v>
      </c>
      <c r="E2156" s="8">
        <v>251</v>
      </c>
    </row>
    <row r="2157" s="3" customFormat="1" ht="18.75" spans="1:5">
      <c r="A2157" s="8" t="str">
        <f t="shared" si="38"/>
        <v>250012</v>
      </c>
      <c r="B2157" s="8" t="str">
        <f>"2561402011213"</f>
        <v>2561402011213</v>
      </c>
      <c r="C2157" s="8" t="s">
        <v>8</v>
      </c>
      <c r="D2157" s="9">
        <v>27.74</v>
      </c>
      <c r="E2157" s="8">
        <v>252</v>
      </c>
    </row>
    <row r="2158" s="3" customFormat="1" ht="18.75" spans="1:5">
      <c r="A2158" s="8" t="str">
        <f t="shared" si="38"/>
        <v>250012</v>
      </c>
      <c r="B2158" s="8" t="str">
        <f>"2561402012316"</f>
        <v>2561402012316</v>
      </c>
      <c r="C2158" s="8" t="s">
        <v>8</v>
      </c>
      <c r="D2158" s="9">
        <v>22.32</v>
      </c>
      <c r="E2158" s="8">
        <v>253</v>
      </c>
    </row>
    <row r="2159" s="3" customFormat="1" ht="18.75" spans="1:5">
      <c r="A2159" s="8" t="str">
        <f t="shared" si="38"/>
        <v>250012</v>
      </c>
      <c r="B2159" s="8" t="str">
        <f>"2561402011911"</f>
        <v>2561402011911</v>
      </c>
      <c r="C2159" s="8" t="s">
        <v>8</v>
      </c>
      <c r="D2159" s="9">
        <v>18.94</v>
      </c>
      <c r="E2159" s="8">
        <v>254</v>
      </c>
    </row>
    <row r="2160" s="3" customFormat="1" ht="18.75" spans="1:5">
      <c r="A2160" s="8" t="str">
        <f t="shared" si="38"/>
        <v>250012</v>
      </c>
      <c r="B2160" s="8" t="str">
        <f>"2561402011116"</f>
        <v>2561402011116</v>
      </c>
      <c r="C2160" s="8" t="s">
        <v>8</v>
      </c>
      <c r="D2160" s="9">
        <v>16.8</v>
      </c>
      <c r="E2160" s="8">
        <v>255</v>
      </c>
    </row>
    <row r="2161" s="3" customFormat="1" ht="18.75" spans="1:5">
      <c r="A2161" s="8" t="str">
        <f t="shared" si="38"/>
        <v>250012</v>
      </c>
      <c r="B2161" s="8" t="str">
        <f>"2561402011022"</f>
        <v>2561402011022</v>
      </c>
      <c r="C2161" s="8" t="s">
        <v>8</v>
      </c>
      <c r="D2161" s="9">
        <v>0</v>
      </c>
      <c r="E2161" s="8">
        <v>256</v>
      </c>
    </row>
    <row r="2162" s="3" customFormat="1" ht="18.75" spans="1:5">
      <c r="A2162" s="8" t="str">
        <f t="shared" ref="A2162:A2225" si="39">"250012"</f>
        <v>250012</v>
      </c>
      <c r="B2162" s="8" t="str">
        <f>"2561402011027"</f>
        <v>2561402011027</v>
      </c>
      <c r="C2162" s="8" t="s">
        <v>8</v>
      </c>
      <c r="D2162" s="9">
        <v>0</v>
      </c>
      <c r="E2162" s="8">
        <v>256</v>
      </c>
    </row>
    <row r="2163" s="3" customFormat="1" ht="18.75" spans="1:5">
      <c r="A2163" s="8" t="str">
        <f t="shared" si="39"/>
        <v>250012</v>
      </c>
      <c r="B2163" s="8" t="str">
        <f>"2561402011028"</f>
        <v>2561402011028</v>
      </c>
      <c r="C2163" s="8" t="s">
        <v>8</v>
      </c>
      <c r="D2163" s="9">
        <v>0</v>
      </c>
      <c r="E2163" s="8">
        <v>256</v>
      </c>
    </row>
    <row r="2164" s="3" customFormat="1" ht="18.75" spans="1:5">
      <c r="A2164" s="8" t="str">
        <f t="shared" si="39"/>
        <v>250012</v>
      </c>
      <c r="B2164" s="8" t="str">
        <f>"2561402011030"</f>
        <v>2561402011030</v>
      </c>
      <c r="C2164" s="8" t="s">
        <v>8</v>
      </c>
      <c r="D2164" s="9">
        <v>0</v>
      </c>
      <c r="E2164" s="8">
        <v>256</v>
      </c>
    </row>
    <row r="2165" s="3" customFormat="1" ht="18.75" spans="1:5">
      <c r="A2165" s="8" t="str">
        <f t="shared" si="39"/>
        <v>250012</v>
      </c>
      <c r="B2165" s="8" t="str">
        <f>"2561402011105"</f>
        <v>2561402011105</v>
      </c>
      <c r="C2165" s="8" t="s">
        <v>8</v>
      </c>
      <c r="D2165" s="9">
        <v>0</v>
      </c>
      <c r="E2165" s="8">
        <v>256</v>
      </c>
    </row>
    <row r="2166" s="3" customFormat="1" ht="18.75" spans="1:5">
      <c r="A2166" s="8" t="str">
        <f t="shared" si="39"/>
        <v>250012</v>
      </c>
      <c r="B2166" s="8" t="str">
        <f>"2561402011106"</f>
        <v>2561402011106</v>
      </c>
      <c r="C2166" s="8" t="s">
        <v>8</v>
      </c>
      <c r="D2166" s="9">
        <v>0</v>
      </c>
      <c r="E2166" s="8">
        <v>256</v>
      </c>
    </row>
    <row r="2167" s="3" customFormat="1" ht="18.75" spans="1:5">
      <c r="A2167" s="8" t="str">
        <f t="shared" si="39"/>
        <v>250012</v>
      </c>
      <c r="B2167" s="8" t="str">
        <f>"2561402011107"</f>
        <v>2561402011107</v>
      </c>
      <c r="C2167" s="8" t="s">
        <v>8</v>
      </c>
      <c r="D2167" s="9">
        <v>0</v>
      </c>
      <c r="E2167" s="8">
        <v>256</v>
      </c>
    </row>
    <row r="2168" s="3" customFormat="1" ht="18.75" spans="1:5">
      <c r="A2168" s="8" t="str">
        <f t="shared" si="39"/>
        <v>250012</v>
      </c>
      <c r="B2168" s="8" t="str">
        <f>"2561402011110"</f>
        <v>2561402011110</v>
      </c>
      <c r="C2168" s="8" t="s">
        <v>8</v>
      </c>
      <c r="D2168" s="9">
        <v>0</v>
      </c>
      <c r="E2168" s="8">
        <v>256</v>
      </c>
    </row>
    <row r="2169" s="3" customFormat="1" ht="18.75" spans="1:5">
      <c r="A2169" s="8" t="str">
        <f t="shared" si="39"/>
        <v>250012</v>
      </c>
      <c r="B2169" s="8" t="str">
        <f>"2561402011112"</f>
        <v>2561402011112</v>
      </c>
      <c r="C2169" s="8" t="s">
        <v>8</v>
      </c>
      <c r="D2169" s="9">
        <v>0</v>
      </c>
      <c r="E2169" s="8">
        <v>256</v>
      </c>
    </row>
    <row r="2170" s="3" customFormat="1" ht="18.75" spans="1:5">
      <c r="A2170" s="8" t="str">
        <f t="shared" si="39"/>
        <v>250012</v>
      </c>
      <c r="B2170" s="8" t="str">
        <f>"2561402011114"</f>
        <v>2561402011114</v>
      </c>
      <c r="C2170" s="8" t="s">
        <v>8</v>
      </c>
      <c r="D2170" s="9">
        <v>0</v>
      </c>
      <c r="E2170" s="8">
        <v>256</v>
      </c>
    </row>
    <row r="2171" s="3" customFormat="1" ht="18.75" spans="1:5">
      <c r="A2171" s="8" t="str">
        <f t="shared" si="39"/>
        <v>250012</v>
      </c>
      <c r="B2171" s="8" t="str">
        <f>"2561402011115"</f>
        <v>2561402011115</v>
      </c>
      <c r="C2171" s="8" t="s">
        <v>8</v>
      </c>
      <c r="D2171" s="9">
        <v>0</v>
      </c>
      <c r="E2171" s="8">
        <v>256</v>
      </c>
    </row>
    <row r="2172" s="3" customFormat="1" ht="18.75" spans="1:5">
      <c r="A2172" s="8" t="str">
        <f t="shared" si="39"/>
        <v>250012</v>
      </c>
      <c r="B2172" s="8" t="str">
        <f>"2561402011121"</f>
        <v>2561402011121</v>
      </c>
      <c r="C2172" s="8" t="s">
        <v>8</v>
      </c>
      <c r="D2172" s="9">
        <v>0</v>
      </c>
      <c r="E2172" s="8">
        <v>256</v>
      </c>
    </row>
    <row r="2173" s="3" customFormat="1" ht="18.75" spans="1:5">
      <c r="A2173" s="8" t="str">
        <f t="shared" si="39"/>
        <v>250012</v>
      </c>
      <c r="B2173" s="8" t="str">
        <f>"2561402011123"</f>
        <v>2561402011123</v>
      </c>
      <c r="C2173" s="8" t="s">
        <v>8</v>
      </c>
      <c r="D2173" s="9">
        <v>0</v>
      </c>
      <c r="E2173" s="8">
        <v>256</v>
      </c>
    </row>
    <row r="2174" s="3" customFormat="1" ht="18.75" spans="1:5">
      <c r="A2174" s="8" t="str">
        <f t="shared" si="39"/>
        <v>250012</v>
      </c>
      <c r="B2174" s="8" t="str">
        <f>"2561402011124"</f>
        <v>2561402011124</v>
      </c>
      <c r="C2174" s="8" t="s">
        <v>8</v>
      </c>
      <c r="D2174" s="9">
        <v>0</v>
      </c>
      <c r="E2174" s="8">
        <v>256</v>
      </c>
    </row>
    <row r="2175" s="3" customFormat="1" ht="18.75" spans="1:5">
      <c r="A2175" s="8" t="str">
        <f t="shared" si="39"/>
        <v>250012</v>
      </c>
      <c r="B2175" s="8" t="str">
        <f>"2561402011128"</f>
        <v>2561402011128</v>
      </c>
      <c r="C2175" s="8" t="s">
        <v>8</v>
      </c>
      <c r="D2175" s="9">
        <v>0</v>
      </c>
      <c r="E2175" s="8">
        <v>256</v>
      </c>
    </row>
    <row r="2176" s="3" customFormat="1" ht="18.75" spans="1:5">
      <c r="A2176" s="8" t="str">
        <f t="shared" si="39"/>
        <v>250012</v>
      </c>
      <c r="B2176" s="8" t="str">
        <f>"2561402011129"</f>
        <v>2561402011129</v>
      </c>
      <c r="C2176" s="8" t="s">
        <v>8</v>
      </c>
      <c r="D2176" s="9">
        <v>0</v>
      </c>
      <c r="E2176" s="8">
        <v>256</v>
      </c>
    </row>
    <row r="2177" s="3" customFormat="1" ht="18.75" spans="1:5">
      <c r="A2177" s="8" t="str">
        <f t="shared" si="39"/>
        <v>250012</v>
      </c>
      <c r="B2177" s="8" t="str">
        <f>"2561402011201"</f>
        <v>2561402011201</v>
      </c>
      <c r="C2177" s="8" t="s">
        <v>8</v>
      </c>
      <c r="D2177" s="9">
        <v>0</v>
      </c>
      <c r="E2177" s="8">
        <v>256</v>
      </c>
    </row>
    <row r="2178" s="3" customFormat="1" ht="18.75" spans="1:5">
      <c r="A2178" s="8" t="str">
        <f t="shared" si="39"/>
        <v>250012</v>
      </c>
      <c r="B2178" s="8" t="str">
        <f>"2561402011202"</f>
        <v>2561402011202</v>
      </c>
      <c r="C2178" s="8" t="s">
        <v>8</v>
      </c>
      <c r="D2178" s="9">
        <v>0</v>
      </c>
      <c r="E2178" s="8">
        <v>256</v>
      </c>
    </row>
    <row r="2179" s="3" customFormat="1" ht="18.75" spans="1:5">
      <c r="A2179" s="8" t="str">
        <f t="shared" si="39"/>
        <v>250012</v>
      </c>
      <c r="B2179" s="8" t="str">
        <f>"2561402011204"</f>
        <v>2561402011204</v>
      </c>
      <c r="C2179" s="8" t="s">
        <v>8</v>
      </c>
      <c r="D2179" s="9">
        <v>0</v>
      </c>
      <c r="E2179" s="8">
        <v>256</v>
      </c>
    </row>
    <row r="2180" s="3" customFormat="1" ht="18.75" spans="1:5">
      <c r="A2180" s="8" t="str">
        <f t="shared" si="39"/>
        <v>250012</v>
      </c>
      <c r="B2180" s="8" t="str">
        <f>"2561402011206"</f>
        <v>2561402011206</v>
      </c>
      <c r="C2180" s="8" t="s">
        <v>8</v>
      </c>
      <c r="D2180" s="9">
        <v>0</v>
      </c>
      <c r="E2180" s="8">
        <v>256</v>
      </c>
    </row>
    <row r="2181" s="3" customFormat="1" ht="18.75" spans="1:5">
      <c r="A2181" s="8" t="str">
        <f t="shared" si="39"/>
        <v>250012</v>
      </c>
      <c r="B2181" s="8" t="str">
        <f>"2561402011207"</f>
        <v>2561402011207</v>
      </c>
      <c r="C2181" s="8" t="s">
        <v>8</v>
      </c>
      <c r="D2181" s="9">
        <v>0</v>
      </c>
      <c r="E2181" s="8">
        <v>256</v>
      </c>
    </row>
    <row r="2182" s="3" customFormat="1" ht="18.75" spans="1:5">
      <c r="A2182" s="8" t="str">
        <f t="shared" si="39"/>
        <v>250012</v>
      </c>
      <c r="B2182" s="8" t="str">
        <f>"2561402011210"</f>
        <v>2561402011210</v>
      </c>
      <c r="C2182" s="8" t="s">
        <v>8</v>
      </c>
      <c r="D2182" s="9">
        <v>0</v>
      </c>
      <c r="E2182" s="8">
        <v>256</v>
      </c>
    </row>
    <row r="2183" s="3" customFormat="1" ht="18.75" spans="1:5">
      <c r="A2183" s="8" t="str">
        <f t="shared" si="39"/>
        <v>250012</v>
      </c>
      <c r="B2183" s="8" t="str">
        <f>"2561402011212"</f>
        <v>2561402011212</v>
      </c>
      <c r="C2183" s="8" t="s">
        <v>8</v>
      </c>
      <c r="D2183" s="9">
        <v>0</v>
      </c>
      <c r="E2183" s="8">
        <v>256</v>
      </c>
    </row>
    <row r="2184" s="3" customFormat="1" ht="18.75" spans="1:5">
      <c r="A2184" s="8" t="str">
        <f t="shared" si="39"/>
        <v>250012</v>
      </c>
      <c r="B2184" s="8" t="str">
        <f>"2561402011215"</f>
        <v>2561402011215</v>
      </c>
      <c r="C2184" s="8" t="s">
        <v>8</v>
      </c>
      <c r="D2184" s="9">
        <v>0</v>
      </c>
      <c r="E2184" s="8">
        <v>256</v>
      </c>
    </row>
    <row r="2185" s="3" customFormat="1" ht="18.75" spans="1:5">
      <c r="A2185" s="8" t="str">
        <f t="shared" si="39"/>
        <v>250012</v>
      </c>
      <c r="B2185" s="8" t="str">
        <f>"2561402011218"</f>
        <v>2561402011218</v>
      </c>
      <c r="C2185" s="8" t="s">
        <v>8</v>
      </c>
      <c r="D2185" s="9">
        <v>0</v>
      </c>
      <c r="E2185" s="8">
        <v>256</v>
      </c>
    </row>
    <row r="2186" s="3" customFormat="1" ht="18.75" spans="1:5">
      <c r="A2186" s="8" t="str">
        <f t="shared" si="39"/>
        <v>250012</v>
      </c>
      <c r="B2186" s="8" t="str">
        <f>"2561402011219"</f>
        <v>2561402011219</v>
      </c>
      <c r="C2186" s="8" t="s">
        <v>8</v>
      </c>
      <c r="D2186" s="9">
        <v>0</v>
      </c>
      <c r="E2186" s="8">
        <v>256</v>
      </c>
    </row>
    <row r="2187" s="3" customFormat="1" ht="18.75" spans="1:5">
      <c r="A2187" s="8" t="str">
        <f t="shared" si="39"/>
        <v>250012</v>
      </c>
      <c r="B2187" s="8" t="str">
        <f>"2561402011220"</f>
        <v>2561402011220</v>
      </c>
      <c r="C2187" s="8" t="s">
        <v>8</v>
      </c>
      <c r="D2187" s="9">
        <v>0</v>
      </c>
      <c r="E2187" s="8">
        <v>256</v>
      </c>
    </row>
    <row r="2188" s="3" customFormat="1" ht="18.75" spans="1:5">
      <c r="A2188" s="8" t="str">
        <f t="shared" si="39"/>
        <v>250012</v>
      </c>
      <c r="B2188" s="8" t="str">
        <f>"2561402011221"</f>
        <v>2561402011221</v>
      </c>
      <c r="C2188" s="8" t="s">
        <v>8</v>
      </c>
      <c r="D2188" s="9">
        <v>0</v>
      </c>
      <c r="E2188" s="8">
        <v>256</v>
      </c>
    </row>
    <row r="2189" s="3" customFormat="1" ht="18.75" spans="1:5">
      <c r="A2189" s="8" t="str">
        <f t="shared" si="39"/>
        <v>250012</v>
      </c>
      <c r="B2189" s="8" t="str">
        <f>"2561402011222"</f>
        <v>2561402011222</v>
      </c>
      <c r="C2189" s="8" t="s">
        <v>8</v>
      </c>
      <c r="D2189" s="9">
        <v>0</v>
      </c>
      <c r="E2189" s="8">
        <v>256</v>
      </c>
    </row>
    <row r="2190" s="3" customFormat="1" ht="18.75" spans="1:5">
      <c r="A2190" s="8" t="str">
        <f t="shared" si="39"/>
        <v>250012</v>
      </c>
      <c r="B2190" s="8" t="str">
        <f>"2561402011225"</f>
        <v>2561402011225</v>
      </c>
      <c r="C2190" s="8" t="s">
        <v>8</v>
      </c>
      <c r="D2190" s="9">
        <v>0</v>
      </c>
      <c r="E2190" s="8">
        <v>256</v>
      </c>
    </row>
    <row r="2191" s="3" customFormat="1" ht="18.75" spans="1:5">
      <c r="A2191" s="8" t="str">
        <f t="shared" si="39"/>
        <v>250012</v>
      </c>
      <c r="B2191" s="8" t="str">
        <f>"2561402011226"</f>
        <v>2561402011226</v>
      </c>
      <c r="C2191" s="8" t="s">
        <v>8</v>
      </c>
      <c r="D2191" s="9">
        <v>0</v>
      </c>
      <c r="E2191" s="8">
        <v>256</v>
      </c>
    </row>
    <row r="2192" s="3" customFormat="1" ht="18.75" spans="1:5">
      <c r="A2192" s="8" t="str">
        <f t="shared" si="39"/>
        <v>250012</v>
      </c>
      <c r="B2192" s="8" t="str">
        <f>"2561402011227"</f>
        <v>2561402011227</v>
      </c>
      <c r="C2192" s="8" t="s">
        <v>8</v>
      </c>
      <c r="D2192" s="9">
        <v>0</v>
      </c>
      <c r="E2192" s="8">
        <v>256</v>
      </c>
    </row>
    <row r="2193" s="3" customFormat="1" ht="18.75" spans="1:5">
      <c r="A2193" s="8" t="str">
        <f t="shared" si="39"/>
        <v>250012</v>
      </c>
      <c r="B2193" s="8" t="str">
        <f>"2561402011228"</f>
        <v>2561402011228</v>
      </c>
      <c r="C2193" s="8" t="s">
        <v>8</v>
      </c>
      <c r="D2193" s="9">
        <v>0</v>
      </c>
      <c r="E2193" s="8">
        <v>256</v>
      </c>
    </row>
    <row r="2194" s="3" customFormat="1" ht="18.75" spans="1:5">
      <c r="A2194" s="8" t="str">
        <f t="shared" si="39"/>
        <v>250012</v>
      </c>
      <c r="B2194" s="8" t="str">
        <f>"2561402011230"</f>
        <v>2561402011230</v>
      </c>
      <c r="C2194" s="8" t="s">
        <v>8</v>
      </c>
      <c r="D2194" s="9">
        <v>0</v>
      </c>
      <c r="E2194" s="8">
        <v>256</v>
      </c>
    </row>
    <row r="2195" s="3" customFormat="1" ht="18.75" spans="1:5">
      <c r="A2195" s="8" t="str">
        <f t="shared" si="39"/>
        <v>250012</v>
      </c>
      <c r="B2195" s="8" t="str">
        <f>"2561402011301"</f>
        <v>2561402011301</v>
      </c>
      <c r="C2195" s="8" t="s">
        <v>8</v>
      </c>
      <c r="D2195" s="9">
        <v>0</v>
      </c>
      <c r="E2195" s="8">
        <v>256</v>
      </c>
    </row>
    <row r="2196" s="3" customFormat="1" ht="18.75" spans="1:5">
      <c r="A2196" s="8" t="str">
        <f t="shared" si="39"/>
        <v>250012</v>
      </c>
      <c r="B2196" s="8" t="str">
        <f>"2561402011304"</f>
        <v>2561402011304</v>
      </c>
      <c r="C2196" s="8" t="s">
        <v>8</v>
      </c>
      <c r="D2196" s="9">
        <v>0</v>
      </c>
      <c r="E2196" s="8">
        <v>256</v>
      </c>
    </row>
    <row r="2197" s="3" customFormat="1" ht="18.75" spans="1:5">
      <c r="A2197" s="8" t="str">
        <f t="shared" si="39"/>
        <v>250012</v>
      </c>
      <c r="B2197" s="8" t="str">
        <f>"2561402011305"</f>
        <v>2561402011305</v>
      </c>
      <c r="C2197" s="8" t="s">
        <v>8</v>
      </c>
      <c r="D2197" s="9">
        <v>0</v>
      </c>
      <c r="E2197" s="8">
        <v>256</v>
      </c>
    </row>
    <row r="2198" s="3" customFormat="1" ht="18.75" spans="1:5">
      <c r="A2198" s="8" t="str">
        <f t="shared" si="39"/>
        <v>250012</v>
      </c>
      <c r="B2198" s="8" t="str">
        <f>"2561402011319"</f>
        <v>2561402011319</v>
      </c>
      <c r="C2198" s="8" t="s">
        <v>8</v>
      </c>
      <c r="D2198" s="9">
        <v>0</v>
      </c>
      <c r="E2198" s="8">
        <v>256</v>
      </c>
    </row>
    <row r="2199" s="3" customFormat="1" ht="18.75" spans="1:5">
      <c r="A2199" s="8" t="str">
        <f t="shared" si="39"/>
        <v>250012</v>
      </c>
      <c r="B2199" s="8" t="str">
        <f>"2561402011320"</f>
        <v>2561402011320</v>
      </c>
      <c r="C2199" s="8" t="s">
        <v>8</v>
      </c>
      <c r="D2199" s="9">
        <v>0</v>
      </c>
      <c r="E2199" s="8">
        <v>256</v>
      </c>
    </row>
    <row r="2200" s="3" customFormat="1" ht="18.75" spans="1:5">
      <c r="A2200" s="8" t="str">
        <f t="shared" si="39"/>
        <v>250012</v>
      </c>
      <c r="B2200" s="8" t="str">
        <f>"2561402011324"</f>
        <v>2561402011324</v>
      </c>
      <c r="C2200" s="8" t="s">
        <v>8</v>
      </c>
      <c r="D2200" s="9">
        <v>0</v>
      </c>
      <c r="E2200" s="8">
        <v>256</v>
      </c>
    </row>
    <row r="2201" s="3" customFormat="1" ht="18.75" spans="1:5">
      <c r="A2201" s="8" t="str">
        <f t="shared" si="39"/>
        <v>250012</v>
      </c>
      <c r="B2201" s="8" t="str">
        <f>"2561402011326"</f>
        <v>2561402011326</v>
      </c>
      <c r="C2201" s="8" t="s">
        <v>8</v>
      </c>
      <c r="D2201" s="9">
        <v>0</v>
      </c>
      <c r="E2201" s="8">
        <v>256</v>
      </c>
    </row>
    <row r="2202" s="3" customFormat="1" ht="18.75" spans="1:5">
      <c r="A2202" s="8" t="str">
        <f t="shared" si="39"/>
        <v>250012</v>
      </c>
      <c r="B2202" s="8" t="str">
        <f>"2561402011329"</f>
        <v>2561402011329</v>
      </c>
      <c r="C2202" s="8" t="s">
        <v>8</v>
      </c>
      <c r="D2202" s="9">
        <v>0</v>
      </c>
      <c r="E2202" s="8">
        <v>256</v>
      </c>
    </row>
    <row r="2203" s="3" customFormat="1" ht="18.75" spans="1:5">
      <c r="A2203" s="8" t="str">
        <f t="shared" si="39"/>
        <v>250012</v>
      </c>
      <c r="B2203" s="8" t="str">
        <f>"2561402011330"</f>
        <v>2561402011330</v>
      </c>
      <c r="C2203" s="8" t="s">
        <v>8</v>
      </c>
      <c r="D2203" s="9">
        <v>0</v>
      </c>
      <c r="E2203" s="8">
        <v>256</v>
      </c>
    </row>
    <row r="2204" s="3" customFormat="1" ht="18.75" spans="1:5">
      <c r="A2204" s="8" t="str">
        <f t="shared" si="39"/>
        <v>250012</v>
      </c>
      <c r="B2204" s="8" t="str">
        <f>"2561402011404"</f>
        <v>2561402011404</v>
      </c>
      <c r="C2204" s="8" t="s">
        <v>8</v>
      </c>
      <c r="D2204" s="9">
        <v>0</v>
      </c>
      <c r="E2204" s="8">
        <v>256</v>
      </c>
    </row>
    <row r="2205" s="3" customFormat="1" ht="18.75" spans="1:5">
      <c r="A2205" s="8" t="str">
        <f t="shared" si="39"/>
        <v>250012</v>
      </c>
      <c r="B2205" s="8" t="str">
        <f>"2561402011405"</f>
        <v>2561402011405</v>
      </c>
      <c r="C2205" s="8" t="s">
        <v>8</v>
      </c>
      <c r="D2205" s="9">
        <v>0</v>
      </c>
      <c r="E2205" s="8">
        <v>256</v>
      </c>
    </row>
    <row r="2206" s="3" customFormat="1" ht="18.75" spans="1:5">
      <c r="A2206" s="8" t="str">
        <f t="shared" si="39"/>
        <v>250012</v>
      </c>
      <c r="B2206" s="8" t="str">
        <f>"2561402011407"</f>
        <v>2561402011407</v>
      </c>
      <c r="C2206" s="8" t="s">
        <v>8</v>
      </c>
      <c r="D2206" s="9">
        <v>0</v>
      </c>
      <c r="E2206" s="8">
        <v>256</v>
      </c>
    </row>
    <row r="2207" s="3" customFormat="1" ht="18.75" spans="1:5">
      <c r="A2207" s="8" t="str">
        <f t="shared" si="39"/>
        <v>250012</v>
      </c>
      <c r="B2207" s="8" t="str">
        <f>"2561402011409"</f>
        <v>2561402011409</v>
      </c>
      <c r="C2207" s="8" t="s">
        <v>8</v>
      </c>
      <c r="D2207" s="9">
        <v>0</v>
      </c>
      <c r="E2207" s="8">
        <v>256</v>
      </c>
    </row>
    <row r="2208" s="3" customFormat="1" ht="18.75" spans="1:5">
      <c r="A2208" s="8" t="str">
        <f t="shared" si="39"/>
        <v>250012</v>
      </c>
      <c r="B2208" s="8" t="str">
        <f>"2561402011413"</f>
        <v>2561402011413</v>
      </c>
      <c r="C2208" s="8" t="s">
        <v>8</v>
      </c>
      <c r="D2208" s="9">
        <v>0</v>
      </c>
      <c r="E2208" s="8">
        <v>256</v>
      </c>
    </row>
    <row r="2209" s="3" customFormat="1" ht="18.75" spans="1:5">
      <c r="A2209" s="8" t="str">
        <f t="shared" si="39"/>
        <v>250012</v>
      </c>
      <c r="B2209" s="8" t="str">
        <f>"2561402011414"</f>
        <v>2561402011414</v>
      </c>
      <c r="C2209" s="8" t="s">
        <v>8</v>
      </c>
      <c r="D2209" s="9">
        <v>0</v>
      </c>
      <c r="E2209" s="8">
        <v>256</v>
      </c>
    </row>
    <row r="2210" s="3" customFormat="1" ht="18.75" spans="1:5">
      <c r="A2210" s="8" t="str">
        <f t="shared" si="39"/>
        <v>250012</v>
      </c>
      <c r="B2210" s="8" t="str">
        <f>"2561402011418"</f>
        <v>2561402011418</v>
      </c>
      <c r="C2210" s="8" t="s">
        <v>8</v>
      </c>
      <c r="D2210" s="9">
        <v>0</v>
      </c>
      <c r="E2210" s="8">
        <v>256</v>
      </c>
    </row>
    <row r="2211" s="3" customFormat="1" ht="18.75" spans="1:5">
      <c r="A2211" s="8" t="str">
        <f t="shared" si="39"/>
        <v>250012</v>
      </c>
      <c r="B2211" s="8" t="str">
        <f>"2561402011422"</f>
        <v>2561402011422</v>
      </c>
      <c r="C2211" s="8" t="s">
        <v>8</v>
      </c>
      <c r="D2211" s="9">
        <v>0</v>
      </c>
      <c r="E2211" s="8">
        <v>256</v>
      </c>
    </row>
    <row r="2212" s="3" customFormat="1" ht="18.75" spans="1:5">
      <c r="A2212" s="8" t="str">
        <f t="shared" si="39"/>
        <v>250012</v>
      </c>
      <c r="B2212" s="8" t="str">
        <f>"2561402011424"</f>
        <v>2561402011424</v>
      </c>
      <c r="C2212" s="8" t="s">
        <v>8</v>
      </c>
      <c r="D2212" s="9">
        <v>0</v>
      </c>
      <c r="E2212" s="8">
        <v>256</v>
      </c>
    </row>
    <row r="2213" s="3" customFormat="1" ht="18.75" spans="1:5">
      <c r="A2213" s="8" t="str">
        <f t="shared" si="39"/>
        <v>250012</v>
      </c>
      <c r="B2213" s="8" t="str">
        <f>"2561402011501"</f>
        <v>2561402011501</v>
      </c>
      <c r="C2213" s="8" t="s">
        <v>8</v>
      </c>
      <c r="D2213" s="9">
        <v>0</v>
      </c>
      <c r="E2213" s="8">
        <v>256</v>
      </c>
    </row>
    <row r="2214" s="3" customFormat="1" ht="18.75" spans="1:5">
      <c r="A2214" s="8" t="str">
        <f t="shared" si="39"/>
        <v>250012</v>
      </c>
      <c r="B2214" s="8" t="str">
        <f>"2561402011504"</f>
        <v>2561402011504</v>
      </c>
      <c r="C2214" s="8" t="s">
        <v>8</v>
      </c>
      <c r="D2214" s="9">
        <v>0</v>
      </c>
      <c r="E2214" s="8">
        <v>256</v>
      </c>
    </row>
    <row r="2215" s="3" customFormat="1" ht="18.75" spans="1:5">
      <c r="A2215" s="8" t="str">
        <f t="shared" si="39"/>
        <v>250012</v>
      </c>
      <c r="B2215" s="8" t="str">
        <f>"2561402011506"</f>
        <v>2561402011506</v>
      </c>
      <c r="C2215" s="8" t="s">
        <v>8</v>
      </c>
      <c r="D2215" s="9">
        <v>0</v>
      </c>
      <c r="E2215" s="8">
        <v>256</v>
      </c>
    </row>
    <row r="2216" s="3" customFormat="1" ht="18.75" spans="1:5">
      <c r="A2216" s="8" t="str">
        <f t="shared" si="39"/>
        <v>250012</v>
      </c>
      <c r="B2216" s="8" t="str">
        <f>"2561402011509"</f>
        <v>2561402011509</v>
      </c>
      <c r="C2216" s="8" t="s">
        <v>8</v>
      </c>
      <c r="D2216" s="9">
        <v>0</v>
      </c>
      <c r="E2216" s="8">
        <v>256</v>
      </c>
    </row>
    <row r="2217" s="3" customFormat="1" ht="18.75" spans="1:5">
      <c r="A2217" s="8" t="str">
        <f t="shared" si="39"/>
        <v>250012</v>
      </c>
      <c r="B2217" s="8" t="str">
        <f>"2561402011511"</f>
        <v>2561402011511</v>
      </c>
      <c r="C2217" s="8" t="s">
        <v>8</v>
      </c>
      <c r="D2217" s="9">
        <v>0</v>
      </c>
      <c r="E2217" s="8">
        <v>256</v>
      </c>
    </row>
    <row r="2218" s="3" customFormat="1" ht="18.75" spans="1:5">
      <c r="A2218" s="8" t="str">
        <f t="shared" si="39"/>
        <v>250012</v>
      </c>
      <c r="B2218" s="8" t="str">
        <f>"2561402011513"</f>
        <v>2561402011513</v>
      </c>
      <c r="C2218" s="8" t="s">
        <v>8</v>
      </c>
      <c r="D2218" s="9">
        <v>0</v>
      </c>
      <c r="E2218" s="8">
        <v>256</v>
      </c>
    </row>
    <row r="2219" s="3" customFormat="1" ht="18.75" spans="1:5">
      <c r="A2219" s="8" t="str">
        <f t="shared" si="39"/>
        <v>250012</v>
      </c>
      <c r="B2219" s="8" t="str">
        <f>"2561402011514"</f>
        <v>2561402011514</v>
      </c>
      <c r="C2219" s="8" t="s">
        <v>8</v>
      </c>
      <c r="D2219" s="9">
        <v>0</v>
      </c>
      <c r="E2219" s="8">
        <v>256</v>
      </c>
    </row>
    <row r="2220" s="3" customFormat="1" ht="18.75" spans="1:5">
      <c r="A2220" s="8" t="str">
        <f t="shared" si="39"/>
        <v>250012</v>
      </c>
      <c r="B2220" s="8" t="str">
        <f>"2561402011518"</f>
        <v>2561402011518</v>
      </c>
      <c r="C2220" s="8" t="s">
        <v>8</v>
      </c>
      <c r="D2220" s="9">
        <v>0</v>
      </c>
      <c r="E2220" s="8">
        <v>256</v>
      </c>
    </row>
    <row r="2221" s="3" customFormat="1" ht="18.75" spans="1:5">
      <c r="A2221" s="8" t="str">
        <f t="shared" si="39"/>
        <v>250012</v>
      </c>
      <c r="B2221" s="8" t="str">
        <f>"2561402011519"</f>
        <v>2561402011519</v>
      </c>
      <c r="C2221" s="8" t="s">
        <v>8</v>
      </c>
      <c r="D2221" s="9">
        <v>0</v>
      </c>
      <c r="E2221" s="8">
        <v>256</v>
      </c>
    </row>
    <row r="2222" s="3" customFormat="1" ht="18.75" spans="1:5">
      <c r="A2222" s="8" t="str">
        <f t="shared" si="39"/>
        <v>250012</v>
      </c>
      <c r="B2222" s="8" t="str">
        <f>"2561402011521"</f>
        <v>2561402011521</v>
      </c>
      <c r="C2222" s="8" t="s">
        <v>8</v>
      </c>
      <c r="D2222" s="9">
        <v>0</v>
      </c>
      <c r="E2222" s="8">
        <v>256</v>
      </c>
    </row>
    <row r="2223" s="3" customFormat="1" ht="18.75" spans="1:5">
      <c r="A2223" s="8" t="str">
        <f t="shared" si="39"/>
        <v>250012</v>
      </c>
      <c r="B2223" s="8" t="str">
        <f>"2561402011522"</f>
        <v>2561402011522</v>
      </c>
      <c r="C2223" s="8" t="s">
        <v>8</v>
      </c>
      <c r="D2223" s="9">
        <v>0</v>
      </c>
      <c r="E2223" s="8">
        <v>256</v>
      </c>
    </row>
    <row r="2224" s="3" customFormat="1" ht="18.75" spans="1:5">
      <c r="A2224" s="8" t="str">
        <f t="shared" si="39"/>
        <v>250012</v>
      </c>
      <c r="B2224" s="8" t="str">
        <f>"2561402011523"</f>
        <v>2561402011523</v>
      </c>
      <c r="C2224" s="8" t="s">
        <v>8</v>
      </c>
      <c r="D2224" s="9">
        <v>0</v>
      </c>
      <c r="E2224" s="8">
        <v>256</v>
      </c>
    </row>
    <row r="2225" s="3" customFormat="1" ht="18.75" spans="1:5">
      <c r="A2225" s="8" t="str">
        <f t="shared" si="39"/>
        <v>250012</v>
      </c>
      <c r="B2225" s="8" t="str">
        <f>"2561402011524"</f>
        <v>2561402011524</v>
      </c>
      <c r="C2225" s="8" t="s">
        <v>8</v>
      </c>
      <c r="D2225" s="9">
        <v>0</v>
      </c>
      <c r="E2225" s="8">
        <v>256</v>
      </c>
    </row>
    <row r="2226" s="3" customFormat="1" ht="18.75" spans="1:5">
      <c r="A2226" s="8" t="str">
        <f t="shared" ref="A2226:A2289" si="40">"250012"</f>
        <v>250012</v>
      </c>
      <c r="B2226" s="8" t="str">
        <f>"2561402011525"</f>
        <v>2561402011525</v>
      </c>
      <c r="C2226" s="8" t="s">
        <v>8</v>
      </c>
      <c r="D2226" s="9">
        <v>0</v>
      </c>
      <c r="E2226" s="8">
        <v>256</v>
      </c>
    </row>
    <row r="2227" s="3" customFormat="1" ht="18.75" spans="1:5">
      <c r="A2227" s="8" t="str">
        <f t="shared" si="40"/>
        <v>250012</v>
      </c>
      <c r="B2227" s="8" t="str">
        <f>"2561402011601"</f>
        <v>2561402011601</v>
      </c>
      <c r="C2227" s="8" t="s">
        <v>8</v>
      </c>
      <c r="D2227" s="9">
        <v>0</v>
      </c>
      <c r="E2227" s="8">
        <v>256</v>
      </c>
    </row>
    <row r="2228" s="3" customFormat="1" ht="18.75" spans="1:5">
      <c r="A2228" s="8" t="str">
        <f t="shared" si="40"/>
        <v>250012</v>
      </c>
      <c r="B2228" s="8" t="str">
        <f>"2561402011603"</f>
        <v>2561402011603</v>
      </c>
      <c r="C2228" s="8" t="s">
        <v>8</v>
      </c>
      <c r="D2228" s="9">
        <v>0</v>
      </c>
      <c r="E2228" s="8">
        <v>256</v>
      </c>
    </row>
    <row r="2229" s="3" customFormat="1" ht="18.75" spans="1:5">
      <c r="A2229" s="8" t="str">
        <f t="shared" si="40"/>
        <v>250012</v>
      </c>
      <c r="B2229" s="8" t="str">
        <f>"2561402011607"</f>
        <v>2561402011607</v>
      </c>
      <c r="C2229" s="8" t="s">
        <v>8</v>
      </c>
      <c r="D2229" s="9">
        <v>0</v>
      </c>
      <c r="E2229" s="8">
        <v>256</v>
      </c>
    </row>
    <row r="2230" s="3" customFormat="1" ht="18.75" spans="1:5">
      <c r="A2230" s="8" t="str">
        <f t="shared" si="40"/>
        <v>250012</v>
      </c>
      <c r="B2230" s="8" t="str">
        <f>"2561402011608"</f>
        <v>2561402011608</v>
      </c>
      <c r="C2230" s="8" t="s">
        <v>8</v>
      </c>
      <c r="D2230" s="9">
        <v>0</v>
      </c>
      <c r="E2230" s="8">
        <v>256</v>
      </c>
    </row>
    <row r="2231" s="3" customFormat="1" ht="18.75" spans="1:5">
      <c r="A2231" s="8" t="str">
        <f t="shared" si="40"/>
        <v>250012</v>
      </c>
      <c r="B2231" s="8" t="str">
        <f>"2561402011609"</f>
        <v>2561402011609</v>
      </c>
      <c r="C2231" s="8" t="s">
        <v>8</v>
      </c>
      <c r="D2231" s="9">
        <v>0</v>
      </c>
      <c r="E2231" s="8">
        <v>256</v>
      </c>
    </row>
    <row r="2232" s="3" customFormat="1" ht="18.75" spans="1:5">
      <c r="A2232" s="8" t="str">
        <f t="shared" si="40"/>
        <v>250012</v>
      </c>
      <c r="B2232" s="8" t="str">
        <f>"2561402011610"</f>
        <v>2561402011610</v>
      </c>
      <c r="C2232" s="8" t="s">
        <v>8</v>
      </c>
      <c r="D2232" s="9">
        <v>0</v>
      </c>
      <c r="E2232" s="8">
        <v>256</v>
      </c>
    </row>
    <row r="2233" s="3" customFormat="1" ht="18.75" spans="1:5">
      <c r="A2233" s="8" t="str">
        <f t="shared" si="40"/>
        <v>250012</v>
      </c>
      <c r="B2233" s="8" t="str">
        <f>"2561402011613"</f>
        <v>2561402011613</v>
      </c>
      <c r="C2233" s="8" t="s">
        <v>8</v>
      </c>
      <c r="D2233" s="9">
        <v>0</v>
      </c>
      <c r="E2233" s="8">
        <v>256</v>
      </c>
    </row>
    <row r="2234" s="3" customFormat="1" ht="18.75" spans="1:5">
      <c r="A2234" s="8" t="str">
        <f t="shared" si="40"/>
        <v>250012</v>
      </c>
      <c r="B2234" s="8" t="str">
        <f>"2561402011614"</f>
        <v>2561402011614</v>
      </c>
      <c r="C2234" s="8" t="s">
        <v>8</v>
      </c>
      <c r="D2234" s="9">
        <v>0</v>
      </c>
      <c r="E2234" s="8">
        <v>256</v>
      </c>
    </row>
    <row r="2235" s="3" customFormat="1" ht="18.75" spans="1:5">
      <c r="A2235" s="8" t="str">
        <f t="shared" si="40"/>
        <v>250012</v>
      </c>
      <c r="B2235" s="8" t="str">
        <f>"2561402011616"</f>
        <v>2561402011616</v>
      </c>
      <c r="C2235" s="8" t="s">
        <v>8</v>
      </c>
      <c r="D2235" s="9">
        <v>0</v>
      </c>
      <c r="E2235" s="8">
        <v>256</v>
      </c>
    </row>
    <row r="2236" s="3" customFormat="1" ht="18.75" spans="1:5">
      <c r="A2236" s="8" t="str">
        <f t="shared" si="40"/>
        <v>250012</v>
      </c>
      <c r="B2236" s="8" t="str">
        <f>"2561402011617"</f>
        <v>2561402011617</v>
      </c>
      <c r="C2236" s="8" t="s">
        <v>8</v>
      </c>
      <c r="D2236" s="9">
        <v>0</v>
      </c>
      <c r="E2236" s="8">
        <v>256</v>
      </c>
    </row>
    <row r="2237" s="3" customFormat="1" ht="18.75" spans="1:5">
      <c r="A2237" s="8" t="str">
        <f t="shared" si="40"/>
        <v>250012</v>
      </c>
      <c r="B2237" s="8" t="str">
        <f>"2561402011618"</f>
        <v>2561402011618</v>
      </c>
      <c r="C2237" s="8" t="s">
        <v>8</v>
      </c>
      <c r="D2237" s="9">
        <v>0</v>
      </c>
      <c r="E2237" s="8">
        <v>256</v>
      </c>
    </row>
    <row r="2238" s="3" customFormat="1" ht="18.75" spans="1:5">
      <c r="A2238" s="8" t="str">
        <f t="shared" si="40"/>
        <v>250012</v>
      </c>
      <c r="B2238" s="8" t="str">
        <f>"2561402011619"</f>
        <v>2561402011619</v>
      </c>
      <c r="C2238" s="8" t="s">
        <v>8</v>
      </c>
      <c r="D2238" s="9">
        <v>0</v>
      </c>
      <c r="E2238" s="8">
        <v>256</v>
      </c>
    </row>
    <row r="2239" s="3" customFormat="1" ht="18.75" spans="1:5">
      <c r="A2239" s="8" t="str">
        <f t="shared" si="40"/>
        <v>250012</v>
      </c>
      <c r="B2239" s="8" t="str">
        <f>"2561402011621"</f>
        <v>2561402011621</v>
      </c>
      <c r="C2239" s="8" t="s">
        <v>8</v>
      </c>
      <c r="D2239" s="9">
        <v>0</v>
      </c>
      <c r="E2239" s="8">
        <v>256</v>
      </c>
    </row>
    <row r="2240" s="3" customFormat="1" ht="18.75" spans="1:5">
      <c r="A2240" s="8" t="str">
        <f t="shared" si="40"/>
        <v>250012</v>
      </c>
      <c r="B2240" s="8" t="str">
        <f>"2561402011624"</f>
        <v>2561402011624</v>
      </c>
      <c r="C2240" s="8" t="s">
        <v>8</v>
      </c>
      <c r="D2240" s="9">
        <v>0</v>
      </c>
      <c r="E2240" s="8">
        <v>256</v>
      </c>
    </row>
    <row r="2241" s="3" customFormat="1" ht="18.75" spans="1:5">
      <c r="A2241" s="8" t="str">
        <f t="shared" si="40"/>
        <v>250012</v>
      </c>
      <c r="B2241" s="8" t="str">
        <f>"2561402011625"</f>
        <v>2561402011625</v>
      </c>
      <c r="C2241" s="8" t="s">
        <v>8</v>
      </c>
      <c r="D2241" s="9">
        <v>0</v>
      </c>
      <c r="E2241" s="8">
        <v>256</v>
      </c>
    </row>
    <row r="2242" s="3" customFormat="1" ht="18.75" spans="1:5">
      <c r="A2242" s="8" t="str">
        <f t="shared" si="40"/>
        <v>250012</v>
      </c>
      <c r="B2242" s="8" t="str">
        <f>"2561402011701"</f>
        <v>2561402011701</v>
      </c>
      <c r="C2242" s="8" t="s">
        <v>8</v>
      </c>
      <c r="D2242" s="9">
        <v>0</v>
      </c>
      <c r="E2242" s="8">
        <v>256</v>
      </c>
    </row>
    <row r="2243" s="3" customFormat="1" ht="18.75" spans="1:5">
      <c r="A2243" s="8" t="str">
        <f t="shared" si="40"/>
        <v>250012</v>
      </c>
      <c r="B2243" s="8" t="str">
        <f>"2561402011704"</f>
        <v>2561402011704</v>
      </c>
      <c r="C2243" s="8" t="s">
        <v>8</v>
      </c>
      <c r="D2243" s="9">
        <v>0</v>
      </c>
      <c r="E2243" s="8">
        <v>256</v>
      </c>
    </row>
    <row r="2244" s="3" customFormat="1" ht="18.75" spans="1:5">
      <c r="A2244" s="8" t="str">
        <f t="shared" si="40"/>
        <v>250012</v>
      </c>
      <c r="B2244" s="8" t="str">
        <f>"2561402011706"</f>
        <v>2561402011706</v>
      </c>
      <c r="C2244" s="8" t="s">
        <v>8</v>
      </c>
      <c r="D2244" s="9">
        <v>0</v>
      </c>
      <c r="E2244" s="8">
        <v>256</v>
      </c>
    </row>
    <row r="2245" s="3" customFormat="1" ht="18.75" spans="1:5">
      <c r="A2245" s="8" t="str">
        <f t="shared" si="40"/>
        <v>250012</v>
      </c>
      <c r="B2245" s="8" t="str">
        <f>"2561402011709"</f>
        <v>2561402011709</v>
      </c>
      <c r="C2245" s="8" t="s">
        <v>8</v>
      </c>
      <c r="D2245" s="9">
        <v>0</v>
      </c>
      <c r="E2245" s="8">
        <v>256</v>
      </c>
    </row>
    <row r="2246" s="3" customFormat="1" ht="18.75" spans="1:5">
      <c r="A2246" s="8" t="str">
        <f t="shared" si="40"/>
        <v>250012</v>
      </c>
      <c r="B2246" s="8" t="str">
        <f>"2561402011711"</f>
        <v>2561402011711</v>
      </c>
      <c r="C2246" s="8" t="s">
        <v>8</v>
      </c>
      <c r="D2246" s="9">
        <v>0</v>
      </c>
      <c r="E2246" s="8">
        <v>256</v>
      </c>
    </row>
    <row r="2247" s="3" customFormat="1" ht="18.75" spans="1:5">
      <c r="A2247" s="8" t="str">
        <f t="shared" si="40"/>
        <v>250012</v>
      </c>
      <c r="B2247" s="8" t="str">
        <f>"2561402011714"</f>
        <v>2561402011714</v>
      </c>
      <c r="C2247" s="8" t="s">
        <v>8</v>
      </c>
      <c r="D2247" s="9">
        <v>0</v>
      </c>
      <c r="E2247" s="8">
        <v>256</v>
      </c>
    </row>
    <row r="2248" s="3" customFormat="1" ht="18.75" spans="1:5">
      <c r="A2248" s="8" t="str">
        <f t="shared" si="40"/>
        <v>250012</v>
      </c>
      <c r="B2248" s="8" t="str">
        <f>"2561402011719"</f>
        <v>2561402011719</v>
      </c>
      <c r="C2248" s="8" t="s">
        <v>8</v>
      </c>
      <c r="D2248" s="9">
        <v>0</v>
      </c>
      <c r="E2248" s="8">
        <v>256</v>
      </c>
    </row>
    <row r="2249" s="3" customFormat="1" ht="18.75" spans="1:5">
      <c r="A2249" s="8" t="str">
        <f t="shared" si="40"/>
        <v>250012</v>
      </c>
      <c r="B2249" s="8" t="str">
        <f>"2561402011721"</f>
        <v>2561402011721</v>
      </c>
      <c r="C2249" s="8" t="s">
        <v>8</v>
      </c>
      <c r="D2249" s="9">
        <v>0</v>
      </c>
      <c r="E2249" s="8">
        <v>256</v>
      </c>
    </row>
    <row r="2250" s="3" customFormat="1" ht="18.75" spans="1:5">
      <c r="A2250" s="8" t="str">
        <f t="shared" si="40"/>
        <v>250012</v>
      </c>
      <c r="B2250" s="8" t="str">
        <f>"2561402011725"</f>
        <v>2561402011725</v>
      </c>
      <c r="C2250" s="8" t="s">
        <v>8</v>
      </c>
      <c r="D2250" s="9">
        <v>0</v>
      </c>
      <c r="E2250" s="8">
        <v>256</v>
      </c>
    </row>
    <row r="2251" s="3" customFormat="1" ht="18.75" spans="1:5">
      <c r="A2251" s="8" t="str">
        <f t="shared" si="40"/>
        <v>250012</v>
      </c>
      <c r="B2251" s="8" t="str">
        <f>"2561402011726"</f>
        <v>2561402011726</v>
      </c>
      <c r="C2251" s="8" t="s">
        <v>8</v>
      </c>
      <c r="D2251" s="9">
        <v>0</v>
      </c>
      <c r="E2251" s="8">
        <v>256</v>
      </c>
    </row>
    <row r="2252" s="3" customFormat="1" ht="18.75" spans="1:5">
      <c r="A2252" s="8" t="str">
        <f t="shared" si="40"/>
        <v>250012</v>
      </c>
      <c r="B2252" s="8" t="str">
        <f>"2561402011729"</f>
        <v>2561402011729</v>
      </c>
      <c r="C2252" s="8" t="s">
        <v>8</v>
      </c>
      <c r="D2252" s="9">
        <v>0</v>
      </c>
      <c r="E2252" s="8">
        <v>256</v>
      </c>
    </row>
    <row r="2253" s="3" customFormat="1" ht="18.75" spans="1:5">
      <c r="A2253" s="8" t="str">
        <f t="shared" si="40"/>
        <v>250012</v>
      </c>
      <c r="B2253" s="8" t="str">
        <f>"2561402011803"</f>
        <v>2561402011803</v>
      </c>
      <c r="C2253" s="8" t="s">
        <v>8</v>
      </c>
      <c r="D2253" s="9">
        <v>0</v>
      </c>
      <c r="E2253" s="8">
        <v>256</v>
      </c>
    </row>
    <row r="2254" s="3" customFormat="1" ht="18.75" spans="1:5">
      <c r="A2254" s="8" t="str">
        <f t="shared" si="40"/>
        <v>250012</v>
      </c>
      <c r="B2254" s="8" t="str">
        <f>"2561402011804"</f>
        <v>2561402011804</v>
      </c>
      <c r="C2254" s="8" t="s">
        <v>8</v>
      </c>
      <c r="D2254" s="9">
        <v>0</v>
      </c>
      <c r="E2254" s="8">
        <v>256</v>
      </c>
    </row>
    <row r="2255" s="3" customFormat="1" ht="18.75" spans="1:5">
      <c r="A2255" s="8" t="str">
        <f t="shared" si="40"/>
        <v>250012</v>
      </c>
      <c r="B2255" s="8" t="str">
        <f>"2561402011805"</f>
        <v>2561402011805</v>
      </c>
      <c r="C2255" s="8" t="s">
        <v>8</v>
      </c>
      <c r="D2255" s="9">
        <v>0</v>
      </c>
      <c r="E2255" s="8">
        <v>256</v>
      </c>
    </row>
    <row r="2256" s="3" customFormat="1" ht="18.75" spans="1:5">
      <c r="A2256" s="8" t="str">
        <f t="shared" si="40"/>
        <v>250012</v>
      </c>
      <c r="B2256" s="8" t="str">
        <f>"2561402011807"</f>
        <v>2561402011807</v>
      </c>
      <c r="C2256" s="8" t="s">
        <v>8</v>
      </c>
      <c r="D2256" s="9">
        <v>0</v>
      </c>
      <c r="E2256" s="8">
        <v>256</v>
      </c>
    </row>
    <row r="2257" s="3" customFormat="1" ht="18.75" spans="1:5">
      <c r="A2257" s="8" t="str">
        <f t="shared" si="40"/>
        <v>250012</v>
      </c>
      <c r="B2257" s="8" t="str">
        <f>"2561402011808"</f>
        <v>2561402011808</v>
      </c>
      <c r="C2257" s="8" t="s">
        <v>8</v>
      </c>
      <c r="D2257" s="9">
        <v>0</v>
      </c>
      <c r="E2257" s="8">
        <v>256</v>
      </c>
    </row>
    <row r="2258" s="3" customFormat="1" ht="18.75" spans="1:5">
      <c r="A2258" s="8" t="str">
        <f t="shared" si="40"/>
        <v>250012</v>
      </c>
      <c r="B2258" s="8" t="str">
        <f>"2561402011809"</f>
        <v>2561402011809</v>
      </c>
      <c r="C2258" s="8" t="s">
        <v>8</v>
      </c>
      <c r="D2258" s="9">
        <v>0</v>
      </c>
      <c r="E2258" s="8">
        <v>256</v>
      </c>
    </row>
    <row r="2259" s="3" customFormat="1" ht="18.75" spans="1:5">
      <c r="A2259" s="8" t="str">
        <f t="shared" si="40"/>
        <v>250012</v>
      </c>
      <c r="B2259" s="8" t="str">
        <f>"2561402011812"</f>
        <v>2561402011812</v>
      </c>
      <c r="C2259" s="8" t="s">
        <v>8</v>
      </c>
      <c r="D2259" s="9">
        <v>0</v>
      </c>
      <c r="E2259" s="8">
        <v>256</v>
      </c>
    </row>
    <row r="2260" s="3" customFormat="1" ht="18.75" spans="1:5">
      <c r="A2260" s="8" t="str">
        <f t="shared" si="40"/>
        <v>250012</v>
      </c>
      <c r="B2260" s="8" t="str">
        <f>"2561402011814"</f>
        <v>2561402011814</v>
      </c>
      <c r="C2260" s="8" t="s">
        <v>8</v>
      </c>
      <c r="D2260" s="9">
        <v>0</v>
      </c>
      <c r="E2260" s="8">
        <v>256</v>
      </c>
    </row>
    <row r="2261" s="3" customFormat="1" ht="18.75" spans="1:5">
      <c r="A2261" s="8" t="str">
        <f t="shared" si="40"/>
        <v>250012</v>
      </c>
      <c r="B2261" s="8" t="str">
        <f>"2561402011819"</f>
        <v>2561402011819</v>
      </c>
      <c r="C2261" s="8" t="s">
        <v>8</v>
      </c>
      <c r="D2261" s="9">
        <v>0</v>
      </c>
      <c r="E2261" s="8">
        <v>256</v>
      </c>
    </row>
    <row r="2262" s="3" customFormat="1" ht="18.75" spans="1:5">
      <c r="A2262" s="8" t="str">
        <f t="shared" si="40"/>
        <v>250012</v>
      </c>
      <c r="B2262" s="8" t="str">
        <f>"2561402011820"</f>
        <v>2561402011820</v>
      </c>
      <c r="C2262" s="8" t="s">
        <v>8</v>
      </c>
      <c r="D2262" s="9">
        <v>0</v>
      </c>
      <c r="E2262" s="8">
        <v>256</v>
      </c>
    </row>
    <row r="2263" s="3" customFormat="1" ht="18.75" spans="1:5">
      <c r="A2263" s="8" t="str">
        <f t="shared" si="40"/>
        <v>250012</v>
      </c>
      <c r="B2263" s="8" t="str">
        <f>"2561402011821"</f>
        <v>2561402011821</v>
      </c>
      <c r="C2263" s="8" t="s">
        <v>8</v>
      </c>
      <c r="D2263" s="9">
        <v>0</v>
      </c>
      <c r="E2263" s="8">
        <v>256</v>
      </c>
    </row>
    <row r="2264" s="3" customFormat="1" ht="18.75" spans="1:5">
      <c r="A2264" s="8" t="str">
        <f t="shared" si="40"/>
        <v>250012</v>
      </c>
      <c r="B2264" s="8" t="str">
        <f>"2561402011829"</f>
        <v>2561402011829</v>
      </c>
      <c r="C2264" s="8" t="s">
        <v>8</v>
      </c>
      <c r="D2264" s="9">
        <v>0</v>
      </c>
      <c r="E2264" s="8">
        <v>256</v>
      </c>
    </row>
    <row r="2265" s="3" customFormat="1" ht="18.75" spans="1:5">
      <c r="A2265" s="8" t="str">
        <f t="shared" si="40"/>
        <v>250012</v>
      </c>
      <c r="B2265" s="8" t="str">
        <f>"2561402011903"</f>
        <v>2561402011903</v>
      </c>
      <c r="C2265" s="8" t="s">
        <v>8</v>
      </c>
      <c r="D2265" s="9">
        <v>0</v>
      </c>
      <c r="E2265" s="8">
        <v>256</v>
      </c>
    </row>
    <row r="2266" s="3" customFormat="1" ht="18.75" spans="1:5">
      <c r="A2266" s="8" t="str">
        <f t="shared" si="40"/>
        <v>250012</v>
      </c>
      <c r="B2266" s="8" t="str">
        <f>"2561402011908"</f>
        <v>2561402011908</v>
      </c>
      <c r="C2266" s="8" t="s">
        <v>8</v>
      </c>
      <c r="D2266" s="9">
        <v>0</v>
      </c>
      <c r="E2266" s="8">
        <v>256</v>
      </c>
    </row>
    <row r="2267" s="3" customFormat="1" ht="18.75" spans="1:5">
      <c r="A2267" s="8" t="str">
        <f t="shared" si="40"/>
        <v>250012</v>
      </c>
      <c r="B2267" s="8" t="str">
        <f>"2561402011909"</f>
        <v>2561402011909</v>
      </c>
      <c r="C2267" s="8" t="s">
        <v>8</v>
      </c>
      <c r="D2267" s="9">
        <v>0</v>
      </c>
      <c r="E2267" s="8">
        <v>256</v>
      </c>
    </row>
    <row r="2268" s="3" customFormat="1" ht="18.75" spans="1:5">
      <c r="A2268" s="8" t="str">
        <f t="shared" si="40"/>
        <v>250012</v>
      </c>
      <c r="B2268" s="8" t="str">
        <f>"2561402011910"</f>
        <v>2561402011910</v>
      </c>
      <c r="C2268" s="8" t="s">
        <v>8</v>
      </c>
      <c r="D2268" s="9">
        <v>0</v>
      </c>
      <c r="E2268" s="8">
        <v>256</v>
      </c>
    </row>
    <row r="2269" s="3" customFormat="1" ht="18.75" spans="1:5">
      <c r="A2269" s="8" t="str">
        <f t="shared" si="40"/>
        <v>250012</v>
      </c>
      <c r="B2269" s="8" t="str">
        <f>"2561402011915"</f>
        <v>2561402011915</v>
      </c>
      <c r="C2269" s="8" t="s">
        <v>8</v>
      </c>
      <c r="D2269" s="9">
        <v>0</v>
      </c>
      <c r="E2269" s="8">
        <v>256</v>
      </c>
    </row>
    <row r="2270" s="3" customFormat="1" ht="18.75" spans="1:5">
      <c r="A2270" s="8" t="str">
        <f t="shared" si="40"/>
        <v>250012</v>
      </c>
      <c r="B2270" s="8" t="str">
        <f>"2561402011920"</f>
        <v>2561402011920</v>
      </c>
      <c r="C2270" s="8" t="s">
        <v>8</v>
      </c>
      <c r="D2270" s="9">
        <v>0</v>
      </c>
      <c r="E2270" s="8">
        <v>256</v>
      </c>
    </row>
    <row r="2271" s="3" customFormat="1" ht="18.75" spans="1:5">
      <c r="A2271" s="8" t="str">
        <f t="shared" si="40"/>
        <v>250012</v>
      </c>
      <c r="B2271" s="8" t="str">
        <f>"2561402011923"</f>
        <v>2561402011923</v>
      </c>
      <c r="C2271" s="8" t="s">
        <v>8</v>
      </c>
      <c r="D2271" s="9">
        <v>0</v>
      </c>
      <c r="E2271" s="8">
        <v>256</v>
      </c>
    </row>
    <row r="2272" s="3" customFormat="1" ht="18.75" spans="1:5">
      <c r="A2272" s="8" t="str">
        <f t="shared" si="40"/>
        <v>250012</v>
      </c>
      <c r="B2272" s="8" t="str">
        <f>"2561402011926"</f>
        <v>2561402011926</v>
      </c>
      <c r="C2272" s="8" t="s">
        <v>8</v>
      </c>
      <c r="D2272" s="9">
        <v>0</v>
      </c>
      <c r="E2272" s="8">
        <v>256</v>
      </c>
    </row>
    <row r="2273" s="3" customFormat="1" ht="18.75" spans="1:5">
      <c r="A2273" s="8" t="str">
        <f t="shared" si="40"/>
        <v>250012</v>
      </c>
      <c r="B2273" s="8" t="str">
        <f>"2561402012003"</f>
        <v>2561402012003</v>
      </c>
      <c r="C2273" s="8" t="s">
        <v>8</v>
      </c>
      <c r="D2273" s="9">
        <v>0</v>
      </c>
      <c r="E2273" s="8">
        <v>256</v>
      </c>
    </row>
    <row r="2274" s="3" customFormat="1" ht="18.75" spans="1:5">
      <c r="A2274" s="8" t="str">
        <f t="shared" si="40"/>
        <v>250012</v>
      </c>
      <c r="B2274" s="8" t="str">
        <f>"2561402012004"</f>
        <v>2561402012004</v>
      </c>
      <c r="C2274" s="8" t="s">
        <v>8</v>
      </c>
      <c r="D2274" s="9">
        <v>0</v>
      </c>
      <c r="E2274" s="8">
        <v>256</v>
      </c>
    </row>
    <row r="2275" s="3" customFormat="1" ht="18.75" spans="1:5">
      <c r="A2275" s="8" t="str">
        <f t="shared" si="40"/>
        <v>250012</v>
      </c>
      <c r="B2275" s="8" t="str">
        <f>"2561402012007"</f>
        <v>2561402012007</v>
      </c>
      <c r="C2275" s="8" t="s">
        <v>8</v>
      </c>
      <c r="D2275" s="9">
        <v>0</v>
      </c>
      <c r="E2275" s="8">
        <v>256</v>
      </c>
    </row>
    <row r="2276" s="3" customFormat="1" ht="18.75" spans="1:5">
      <c r="A2276" s="8" t="str">
        <f t="shared" si="40"/>
        <v>250012</v>
      </c>
      <c r="B2276" s="8" t="str">
        <f>"2561402012009"</f>
        <v>2561402012009</v>
      </c>
      <c r="C2276" s="8" t="s">
        <v>8</v>
      </c>
      <c r="D2276" s="9">
        <v>0</v>
      </c>
      <c r="E2276" s="8">
        <v>256</v>
      </c>
    </row>
    <row r="2277" s="3" customFormat="1" ht="18.75" spans="1:5">
      <c r="A2277" s="8" t="str">
        <f t="shared" si="40"/>
        <v>250012</v>
      </c>
      <c r="B2277" s="8" t="str">
        <f>"2561402012010"</f>
        <v>2561402012010</v>
      </c>
      <c r="C2277" s="8" t="s">
        <v>8</v>
      </c>
      <c r="D2277" s="9">
        <v>0</v>
      </c>
      <c r="E2277" s="8">
        <v>256</v>
      </c>
    </row>
    <row r="2278" s="3" customFormat="1" ht="18.75" spans="1:5">
      <c r="A2278" s="8" t="str">
        <f t="shared" si="40"/>
        <v>250012</v>
      </c>
      <c r="B2278" s="8" t="str">
        <f>"2561402012013"</f>
        <v>2561402012013</v>
      </c>
      <c r="C2278" s="8" t="s">
        <v>8</v>
      </c>
      <c r="D2278" s="9">
        <v>0</v>
      </c>
      <c r="E2278" s="8">
        <v>256</v>
      </c>
    </row>
    <row r="2279" s="3" customFormat="1" ht="18.75" spans="1:5">
      <c r="A2279" s="8" t="str">
        <f t="shared" si="40"/>
        <v>250012</v>
      </c>
      <c r="B2279" s="8" t="str">
        <f>"2561402012014"</f>
        <v>2561402012014</v>
      </c>
      <c r="C2279" s="8" t="s">
        <v>8</v>
      </c>
      <c r="D2279" s="9">
        <v>0</v>
      </c>
      <c r="E2279" s="8">
        <v>256</v>
      </c>
    </row>
    <row r="2280" s="3" customFormat="1" ht="18.75" spans="1:5">
      <c r="A2280" s="8" t="str">
        <f t="shared" si="40"/>
        <v>250012</v>
      </c>
      <c r="B2280" s="8" t="str">
        <f>"2561402012015"</f>
        <v>2561402012015</v>
      </c>
      <c r="C2280" s="8" t="s">
        <v>8</v>
      </c>
      <c r="D2280" s="9">
        <v>0</v>
      </c>
      <c r="E2280" s="8">
        <v>256</v>
      </c>
    </row>
    <row r="2281" s="3" customFormat="1" ht="18.75" spans="1:5">
      <c r="A2281" s="8" t="str">
        <f t="shared" si="40"/>
        <v>250012</v>
      </c>
      <c r="B2281" s="8" t="str">
        <f>"2561402012018"</f>
        <v>2561402012018</v>
      </c>
      <c r="C2281" s="8" t="s">
        <v>8</v>
      </c>
      <c r="D2281" s="9">
        <v>0</v>
      </c>
      <c r="E2281" s="8">
        <v>256</v>
      </c>
    </row>
    <row r="2282" s="3" customFormat="1" ht="18.75" spans="1:5">
      <c r="A2282" s="8" t="str">
        <f t="shared" si="40"/>
        <v>250012</v>
      </c>
      <c r="B2282" s="8" t="str">
        <f>"2561402012105"</f>
        <v>2561402012105</v>
      </c>
      <c r="C2282" s="8" t="s">
        <v>8</v>
      </c>
      <c r="D2282" s="9">
        <v>0</v>
      </c>
      <c r="E2282" s="8">
        <v>256</v>
      </c>
    </row>
    <row r="2283" s="3" customFormat="1" ht="18.75" spans="1:5">
      <c r="A2283" s="8" t="str">
        <f t="shared" si="40"/>
        <v>250012</v>
      </c>
      <c r="B2283" s="8" t="str">
        <f>"2561402012107"</f>
        <v>2561402012107</v>
      </c>
      <c r="C2283" s="8" t="s">
        <v>8</v>
      </c>
      <c r="D2283" s="9">
        <v>0</v>
      </c>
      <c r="E2283" s="8">
        <v>256</v>
      </c>
    </row>
    <row r="2284" s="3" customFormat="1" ht="18.75" spans="1:5">
      <c r="A2284" s="8" t="str">
        <f t="shared" si="40"/>
        <v>250012</v>
      </c>
      <c r="B2284" s="8" t="str">
        <f>"2561402012108"</f>
        <v>2561402012108</v>
      </c>
      <c r="C2284" s="8" t="s">
        <v>8</v>
      </c>
      <c r="D2284" s="9">
        <v>0</v>
      </c>
      <c r="E2284" s="8">
        <v>256</v>
      </c>
    </row>
    <row r="2285" s="3" customFormat="1" ht="18.75" spans="1:5">
      <c r="A2285" s="8" t="str">
        <f t="shared" si="40"/>
        <v>250012</v>
      </c>
      <c r="B2285" s="8" t="str">
        <f>"2561402012116"</f>
        <v>2561402012116</v>
      </c>
      <c r="C2285" s="8" t="s">
        <v>8</v>
      </c>
      <c r="D2285" s="9">
        <v>0</v>
      </c>
      <c r="E2285" s="8">
        <v>256</v>
      </c>
    </row>
    <row r="2286" s="3" customFormat="1" ht="18.75" spans="1:5">
      <c r="A2286" s="8" t="str">
        <f t="shared" si="40"/>
        <v>250012</v>
      </c>
      <c r="B2286" s="8" t="str">
        <f>"2561402012120"</f>
        <v>2561402012120</v>
      </c>
      <c r="C2286" s="8" t="s">
        <v>8</v>
      </c>
      <c r="D2286" s="9">
        <v>0</v>
      </c>
      <c r="E2286" s="8">
        <v>256</v>
      </c>
    </row>
    <row r="2287" s="3" customFormat="1" ht="18.75" spans="1:5">
      <c r="A2287" s="8" t="str">
        <f t="shared" si="40"/>
        <v>250012</v>
      </c>
      <c r="B2287" s="8" t="str">
        <f>"2561402012121"</f>
        <v>2561402012121</v>
      </c>
      <c r="C2287" s="8" t="s">
        <v>8</v>
      </c>
      <c r="D2287" s="9">
        <v>0</v>
      </c>
      <c r="E2287" s="8">
        <v>256</v>
      </c>
    </row>
    <row r="2288" s="3" customFormat="1" ht="18.75" spans="1:5">
      <c r="A2288" s="8" t="str">
        <f t="shared" si="40"/>
        <v>250012</v>
      </c>
      <c r="B2288" s="8" t="str">
        <f>"2561402012122"</f>
        <v>2561402012122</v>
      </c>
      <c r="C2288" s="8" t="s">
        <v>8</v>
      </c>
      <c r="D2288" s="9">
        <v>0</v>
      </c>
      <c r="E2288" s="8">
        <v>256</v>
      </c>
    </row>
    <row r="2289" s="3" customFormat="1" ht="18.75" spans="1:5">
      <c r="A2289" s="8" t="str">
        <f t="shared" si="40"/>
        <v>250012</v>
      </c>
      <c r="B2289" s="8" t="str">
        <f>"2561402012125"</f>
        <v>2561402012125</v>
      </c>
      <c r="C2289" s="8" t="s">
        <v>8</v>
      </c>
      <c r="D2289" s="9">
        <v>0</v>
      </c>
      <c r="E2289" s="8">
        <v>256</v>
      </c>
    </row>
    <row r="2290" s="3" customFormat="1" ht="18.75" spans="1:5">
      <c r="A2290" s="8" t="str">
        <f t="shared" ref="A2290:A2335" si="41">"250012"</f>
        <v>250012</v>
      </c>
      <c r="B2290" s="8" t="str">
        <f>"2561402012128"</f>
        <v>2561402012128</v>
      </c>
      <c r="C2290" s="8" t="s">
        <v>8</v>
      </c>
      <c r="D2290" s="9">
        <v>0</v>
      </c>
      <c r="E2290" s="8">
        <v>256</v>
      </c>
    </row>
    <row r="2291" s="3" customFormat="1" ht="18.75" spans="1:5">
      <c r="A2291" s="8" t="str">
        <f t="shared" si="41"/>
        <v>250012</v>
      </c>
      <c r="B2291" s="8" t="str">
        <f>"2561402012130"</f>
        <v>2561402012130</v>
      </c>
      <c r="C2291" s="8" t="s">
        <v>8</v>
      </c>
      <c r="D2291" s="9">
        <v>0</v>
      </c>
      <c r="E2291" s="8">
        <v>256</v>
      </c>
    </row>
    <row r="2292" s="3" customFormat="1" ht="18.75" spans="1:5">
      <c r="A2292" s="8" t="str">
        <f t="shared" si="41"/>
        <v>250012</v>
      </c>
      <c r="B2292" s="8" t="str">
        <f>"2561402012201"</f>
        <v>2561402012201</v>
      </c>
      <c r="C2292" s="8" t="s">
        <v>8</v>
      </c>
      <c r="D2292" s="9">
        <v>0</v>
      </c>
      <c r="E2292" s="8">
        <v>256</v>
      </c>
    </row>
    <row r="2293" s="3" customFormat="1" ht="18.75" spans="1:5">
      <c r="A2293" s="8" t="str">
        <f t="shared" si="41"/>
        <v>250012</v>
      </c>
      <c r="B2293" s="8" t="str">
        <f>"2561402012202"</f>
        <v>2561402012202</v>
      </c>
      <c r="C2293" s="8" t="s">
        <v>8</v>
      </c>
      <c r="D2293" s="9">
        <v>0</v>
      </c>
      <c r="E2293" s="8">
        <v>256</v>
      </c>
    </row>
    <row r="2294" s="3" customFormat="1" ht="18.75" spans="1:5">
      <c r="A2294" s="8" t="str">
        <f t="shared" si="41"/>
        <v>250012</v>
      </c>
      <c r="B2294" s="8" t="str">
        <f>"2561402012203"</f>
        <v>2561402012203</v>
      </c>
      <c r="C2294" s="8" t="s">
        <v>8</v>
      </c>
      <c r="D2294" s="9">
        <v>0</v>
      </c>
      <c r="E2294" s="8">
        <v>256</v>
      </c>
    </row>
    <row r="2295" s="3" customFormat="1" ht="18.75" spans="1:5">
      <c r="A2295" s="8" t="str">
        <f t="shared" si="41"/>
        <v>250012</v>
      </c>
      <c r="B2295" s="8" t="str">
        <f>"2561402012205"</f>
        <v>2561402012205</v>
      </c>
      <c r="C2295" s="8" t="s">
        <v>8</v>
      </c>
      <c r="D2295" s="9">
        <v>0</v>
      </c>
      <c r="E2295" s="8">
        <v>256</v>
      </c>
    </row>
    <row r="2296" s="3" customFormat="1" ht="18.75" spans="1:5">
      <c r="A2296" s="8" t="str">
        <f t="shared" si="41"/>
        <v>250012</v>
      </c>
      <c r="B2296" s="8" t="str">
        <f>"2561402012206"</f>
        <v>2561402012206</v>
      </c>
      <c r="C2296" s="8" t="s">
        <v>8</v>
      </c>
      <c r="D2296" s="9">
        <v>0</v>
      </c>
      <c r="E2296" s="8">
        <v>256</v>
      </c>
    </row>
    <row r="2297" s="3" customFormat="1" ht="18.75" spans="1:5">
      <c r="A2297" s="8" t="str">
        <f t="shared" si="41"/>
        <v>250012</v>
      </c>
      <c r="B2297" s="8" t="str">
        <f>"2561402012212"</f>
        <v>2561402012212</v>
      </c>
      <c r="C2297" s="8" t="s">
        <v>8</v>
      </c>
      <c r="D2297" s="9">
        <v>0</v>
      </c>
      <c r="E2297" s="8">
        <v>256</v>
      </c>
    </row>
    <row r="2298" s="3" customFormat="1" ht="18.75" spans="1:5">
      <c r="A2298" s="8" t="str">
        <f t="shared" si="41"/>
        <v>250012</v>
      </c>
      <c r="B2298" s="8" t="str">
        <f>"2561402012213"</f>
        <v>2561402012213</v>
      </c>
      <c r="C2298" s="8" t="s">
        <v>8</v>
      </c>
      <c r="D2298" s="9">
        <v>0</v>
      </c>
      <c r="E2298" s="8">
        <v>256</v>
      </c>
    </row>
    <row r="2299" s="3" customFormat="1" ht="18.75" spans="1:5">
      <c r="A2299" s="8" t="str">
        <f t="shared" si="41"/>
        <v>250012</v>
      </c>
      <c r="B2299" s="8" t="str">
        <f>"2561402012215"</f>
        <v>2561402012215</v>
      </c>
      <c r="C2299" s="8" t="s">
        <v>8</v>
      </c>
      <c r="D2299" s="9">
        <v>0</v>
      </c>
      <c r="E2299" s="8">
        <v>256</v>
      </c>
    </row>
    <row r="2300" s="3" customFormat="1" ht="18.75" spans="1:5">
      <c r="A2300" s="8" t="str">
        <f t="shared" si="41"/>
        <v>250012</v>
      </c>
      <c r="B2300" s="8" t="str">
        <f>"2561402012217"</f>
        <v>2561402012217</v>
      </c>
      <c r="C2300" s="8" t="s">
        <v>8</v>
      </c>
      <c r="D2300" s="9">
        <v>0</v>
      </c>
      <c r="E2300" s="8">
        <v>256</v>
      </c>
    </row>
    <row r="2301" s="3" customFormat="1" ht="18.75" spans="1:5">
      <c r="A2301" s="8" t="str">
        <f t="shared" si="41"/>
        <v>250012</v>
      </c>
      <c r="B2301" s="8" t="str">
        <f>"2561402012220"</f>
        <v>2561402012220</v>
      </c>
      <c r="C2301" s="8" t="s">
        <v>8</v>
      </c>
      <c r="D2301" s="9">
        <v>0</v>
      </c>
      <c r="E2301" s="8">
        <v>256</v>
      </c>
    </row>
    <row r="2302" s="3" customFormat="1" ht="18.75" spans="1:5">
      <c r="A2302" s="8" t="str">
        <f t="shared" si="41"/>
        <v>250012</v>
      </c>
      <c r="B2302" s="8" t="str">
        <f>"2561402012222"</f>
        <v>2561402012222</v>
      </c>
      <c r="C2302" s="8" t="s">
        <v>8</v>
      </c>
      <c r="D2302" s="9">
        <v>0</v>
      </c>
      <c r="E2302" s="8">
        <v>256</v>
      </c>
    </row>
    <row r="2303" s="3" customFormat="1" ht="18.75" spans="1:5">
      <c r="A2303" s="8" t="str">
        <f t="shared" si="41"/>
        <v>250012</v>
      </c>
      <c r="B2303" s="8" t="str">
        <f>"2561402012226"</f>
        <v>2561402012226</v>
      </c>
      <c r="C2303" s="8" t="s">
        <v>8</v>
      </c>
      <c r="D2303" s="9">
        <v>0</v>
      </c>
      <c r="E2303" s="8">
        <v>256</v>
      </c>
    </row>
    <row r="2304" s="3" customFormat="1" ht="18.75" spans="1:5">
      <c r="A2304" s="8" t="str">
        <f t="shared" si="41"/>
        <v>250012</v>
      </c>
      <c r="B2304" s="8" t="str">
        <f>"2561402012227"</f>
        <v>2561402012227</v>
      </c>
      <c r="C2304" s="8" t="s">
        <v>8</v>
      </c>
      <c r="D2304" s="9">
        <v>0</v>
      </c>
      <c r="E2304" s="8">
        <v>256</v>
      </c>
    </row>
    <row r="2305" s="3" customFormat="1" ht="18.75" spans="1:5">
      <c r="A2305" s="8" t="str">
        <f t="shared" si="41"/>
        <v>250012</v>
      </c>
      <c r="B2305" s="8" t="str">
        <f>"2561402012228"</f>
        <v>2561402012228</v>
      </c>
      <c r="C2305" s="8" t="s">
        <v>8</v>
      </c>
      <c r="D2305" s="9">
        <v>0</v>
      </c>
      <c r="E2305" s="8">
        <v>256</v>
      </c>
    </row>
    <row r="2306" s="3" customFormat="1" ht="18.75" spans="1:5">
      <c r="A2306" s="8" t="str">
        <f t="shared" si="41"/>
        <v>250012</v>
      </c>
      <c r="B2306" s="8" t="str">
        <f>"2561402012303"</f>
        <v>2561402012303</v>
      </c>
      <c r="C2306" s="8" t="s">
        <v>8</v>
      </c>
      <c r="D2306" s="9">
        <v>0</v>
      </c>
      <c r="E2306" s="8">
        <v>256</v>
      </c>
    </row>
    <row r="2307" s="3" customFormat="1" ht="18.75" spans="1:5">
      <c r="A2307" s="8" t="str">
        <f t="shared" si="41"/>
        <v>250012</v>
      </c>
      <c r="B2307" s="8" t="str">
        <f>"2561402012304"</f>
        <v>2561402012304</v>
      </c>
      <c r="C2307" s="8" t="s">
        <v>8</v>
      </c>
      <c r="D2307" s="9">
        <v>0</v>
      </c>
      <c r="E2307" s="8">
        <v>256</v>
      </c>
    </row>
    <row r="2308" s="3" customFormat="1" ht="18.75" spans="1:5">
      <c r="A2308" s="8" t="str">
        <f t="shared" si="41"/>
        <v>250012</v>
      </c>
      <c r="B2308" s="8" t="str">
        <f>"2561402012305"</f>
        <v>2561402012305</v>
      </c>
      <c r="C2308" s="8" t="s">
        <v>8</v>
      </c>
      <c r="D2308" s="9">
        <v>0</v>
      </c>
      <c r="E2308" s="8">
        <v>256</v>
      </c>
    </row>
    <row r="2309" s="3" customFormat="1" ht="18.75" spans="1:5">
      <c r="A2309" s="8" t="str">
        <f t="shared" si="41"/>
        <v>250012</v>
      </c>
      <c r="B2309" s="8" t="str">
        <f>"2561402012308"</f>
        <v>2561402012308</v>
      </c>
      <c r="C2309" s="8" t="s">
        <v>8</v>
      </c>
      <c r="D2309" s="9">
        <v>0</v>
      </c>
      <c r="E2309" s="8">
        <v>256</v>
      </c>
    </row>
    <row r="2310" s="3" customFormat="1" ht="18.75" spans="1:5">
      <c r="A2310" s="8" t="str">
        <f t="shared" si="41"/>
        <v>250012</v>
      </c>
      <c r="B2310" s="8" t="str">
        <f>"2561402012310"</f>
        <v>2561402012310</v>
      </c>
      <c r="C2310" s="8" t="s">
        <v>8</v>
      </c>
      <c r="D2310" s="9">
        <v>0</v>
      </c>
      <c r="E2310" s="8">
        <v>256</v>
      </c>
    </row>
    <row r="2311" s="3" customFormat="1" ht="18.75" spans="1:5">
      <c r="A2311" s="8" t="str">
        <f t="shared" si="41"/>
        <v>250012</v>
      </c>
      <c r="B2311" s="8" t="str">
        <f>"2561402012312"</f>
        <v>2561402012312</v>
      </c>
      <c r="C2311" s="8" t="s">
        <v>8</v>
      </c>
      <c r="D2311" s="9">
        <v>0</v>
      </c>
      <c r="E2311" s="8">
        <v>256</v>
      </c>
    </row>
    <row r="2312" s="3" customFormat="1" ht="18.75" spans="1:5">
      <c r="A2312" s="8" t="str">
        <f t="shared" si="41"/>
        <v>250012</v>
      </c>
      <c r="B2312" s="8" t="str">
        <f>"2561402012313"</f>
        <v>2561402012313</v>
      </c>
      <c r="C2312" s="8" t="s">
        <v>8</v>
      </c>
      <c r="D2312" s="9">
        <v>0</v>
      </c>
      <c r="E2312" s="8">
        <v>256</v>
      </c>
    </row>
    <row r="2313" s="3" customFormat="1" ht="18.75" spans="1:5">
      <c r="A2313" s="8" t="str">
        <f t="shared" si="41"/>
        <v>250012</v>
      </c>
      <c r="B2313" s="8" t="str">
        <f>"2561402012317"</f>
        <v>2561402012317</v>
      </c>
      <c r="C2313" s="8" t="s">
        <v>8</v>
      </c>
      <c r="D2313" s="9">
        <v>0</v>
      </c>
      <c r="E2313" s="8">
        <v>256</v>
      </c>
    </row>
    <row r="2314" s="3" customFormat="1" ht="18.75" spans="1:5">
      <c r="A2314" s="8" t="str">
        <f t="shared" si="41"/>
        <v>250012</v>
      </c>
      <c r="B2314" s="8" t="str">
        <f>"2561402012318"</f>
        <v>2561402012318</v>
      </c>
      <c r="C2314" s="8" t="s">
        <v>8</v>
      </c>
      <c r="D2314" s="9">
        <v>0</v>
      </c>
      <c r="E2314" s="8">
        <v>256</v>
      </c>
    </row>
    <row r="2315" s="3" customFormat="1" ht="18.75" spans="1:5">
      <c r="A2315" s="8" t="str">
        <f t="shared" si="41"/>
        <v>250012</v>
      </c>
      <c r="B2315" s="8" t="str">
        <f>"2561402012321"</f>
        <v>2561402012321</v>
      </c>
      <c r="C2315" s="8" t="s">
        <v>8</v>
      </c>
      <c r="D2315" s="9">
        <v>0</v>
      </c>
      <c r="E2315" s="8">
        <v>256</v>
      </c>
    </row>
    <row r="2316" s="3" customFormat="1" ht="18.75" spans="1:5">
      <c r="A2316" s="8" t="str">
        <f t="shared" si="41"/>
        <v>250012</v>
      </c>
      <c r="B2316" s="8" t="str">
        <f>"2561402012322"</f>
        <v>2561402012322</v>
      </c>
      <c r="C2316" s="8" t="s">
        <v>8</v>
      </c>
      <c r="D2316" s="9">
        <v>0</v>
      </c>
      <c r="E2316" s="8">
        <v>256</v>
      </c>
    </row>
    <row r="2317" s="3" customFormat="1" ht="18.75" spans="1:5">
      <c r="A2317" s="8" t="str">
        <f t="shared" si="41"/>
        <v>250012</v>
      </c>
      <c r="B2317" s="8" t="str">
        <f>"2561402012324"</f>
        <v>2561402012324</v>
      </c>
      <c r="C2317" s="8" t="s">
        <v>8</v>
      </c>
      <c r="D2317" s="9">
        <v>0</v>
      </c>
      <c r="E2317" s="8">
        <v>256</v>
      </c>
    </row>
    <row r="2318" s="3" customFormat="1" ht="18.75" spans="1:5">
      <c r="A2318" s="8" t="str">
        <f t="shared" si="41"/>
        <v>250012</v>
      </c>
      <c r="B2318" s="8" t="str">
        <f>"2561402012326"</f>
        <v>2561402012326</v>
      </c>
      <c r="C2318" s="8" t="s">
        <v>8</v>
      </c>
      <c r="D2318" s="9">
        <v>0</v>
      </c>
      <c r="E2318" s="8">
        <v>256</v>
      </c>
    </row>
    <row r="2319" s="3" customFormat="1" ht="18.75" spans="1:5">
      <c r="A2319" s="8" t="str">
        <f t="shared" si="41"/>
        <v>250012</v>
      </c>
      <c r="B2319" s="8" t="str">
        <f>"2561402012327"</f>
        <v>2561402012327</v>
      </c>
      <c r="C2319" s="8" t="s">
        <v>8</v>
      </c>
      <c r="D2319" s="9">
        <v>0</v>
      </c>
      <c r="E2319" s="8">
        <v>256</v>
      </c>
    </row>
    <row r="2320" s="3" customFormat="1" ht="18.75" spans="1:5">
      <c r="A2320" s="8" t="str">
        <f t="shared" si="41"/>
        <v>250012</v>
      </c>
      <c r="B2320" s="8" t="str">
        <f>"2561402012329"</f>
        <v>2561402012329</v>
      </c>
      <c r="C2320" s="8" t="s">
        <v>8</v>
      </c>
      <c r="D2320" s="9">
        <v>0</v>
      </c>
      <c r="E2320" s="8">
        <v>256</v>
      </c>
    </row>
    <row r="2321" s="3" customFormat="1" ht="18.75" spans="1:5">
      <c r="A2321" s="8" t="str">
        <f t="shared" si="41"/>
        <v>250012</v>
      </c>
      <c r="B2321" s="8" t="str">
        <f>"2561402012330"</f>
        <v>2561402012330</v>
      </c>
      <c r="C2321" s="8" t="s">
        <v>8</v>
      </c>
      <c r="D2321" s="9">
        <v>0</v>
      </c>
      <c r="E2321" s="8">
        <v>256</v>
      </c>
    </row>
    <row r="2322" s="3" customFormat="1" ht="18.75" spans="1:5">
      <c r="A2322" s="8" t="str">
        <f t="shared" si="41"/>
        <v>250012</v>
      </c>
      <c r="B2322" s="8" t="str">
        <f>"2561402012402"</f>
        <v>2561402012402</v>
      </c>
      <c r="C2322" s="8" t="s">
        <v>8</v>
      </c>
      <c r="D2322" s="9">
        <v>0</v>
      </c>
      <c r="E2322" s="8">
        <v>256</v>
      </c>
    </row>
    <row r="2323" s="3" customFormat="1" ht="18.75" spans="1:5">
      <c r="A2323" s="8" t="str">
        <f t="shared" si="41"/>
        <v>250012</v>
      </c>
      <c r="B2323" s="8" t="str">
        <f>"2561402012405"</f>
        <v>2561402012405</v>
      </c>
      <c r="C2323" s="8" t="s">
        <v>8</v>
      </c>
      <c r="D2323" s="9">
        <v>0</v>
      </c>
      <c r="E2323" s="8">
        <v>256</v>
      </c>
    </row>
    <row r="2324" s="3" customFormat="1" ht="18.75" spans="1:5">
      <c r="A2324" s="8" t="str">
        <f t="shared" si="41"/>
        <v>250012</v>
      </c>
      <c r="B2324" s="8" t="str">
        <f>"2561402012410"</f>
        <v>2561402012410</v>
      </c>
      <c r="C2324" s="8" t="s">
        <v>8</v>
      </c>
      <c r="D2324" s="9">
        <v>0</v>
      </c>
      <c r="E2324" s="8">
        <v>256</v>
      </c>
    </row>
    <row r="2325" s="3" customFormat="1" ht="18.75" spans="1:5">
      <c r="A2325" s="8" t="str">
        <f t="shared" si="41"/>
        <v>250012</v>
      </c>
      <c r="B2325" s="8" t="str">
        <f>"2561402012411"</f>
        <v>2561402012411</v>
      </c>
      <c r="C2325" s="8" t="s">
        <v>8</v>
      </c>
      <c r="D2325" s="9">
        <v>0</v>
      </c>
      <c r="E2325" s="8">
        <v>256</v>
      </c>
    </row>
    <row r="2326" s="3" customFormat="1" ht="18.75" spans="1:5">
      <c r="A2326" s="8" t="str">
        <f t="shared" si="41"/>
        <v>250012</v>
      </c>
      <c r="B2326" s="8" t="str">
        <f>"2561402012412"</f>
        <v>2561402012412</v>
      </c>
      <c r="C2326" s="8" t="s">
        <v>8</v>
      </c>
      <c r="D2326" s="9">
        <v>0</v>
      </c>
      <c r="E2326" s="8">
        <v>256</v>
      </c>
    </row>
    <row r="2327" s="3" customFormat="1" ht="18.75" spans="1:5">
      <c r="A2327" s="8" t="str">
        <f t="shared" si="41"/>
        <v>250012</v>
      </c>
      <c r="B2327" s="8" t="str">
        <f>"2561402012414"</f>
        <v>2561402012414</v>
      </c>
      <c r="C2327" s="8" t="s">
        <v>8</v>
      </c>
      <c r="D2327" s="9">
        <v>0</v>
      </c>
      <c r="E2327" s="8">
        <v>256</v>
      </c>
    </row>
    <row r="2328" s="3" customFormat="1" ht="18.75" spans="1:5">
      <c r="A2328" s="8" t="str">
        <f t="shared" si="41"/>
        <v>250012</v>
      </c>
      <c r="B2328" s="8" t="str">
        <f>"2561402012417"</f>
        <v>2561402012417</v>
      </c>
      <c r="C2328" s="8" t="s">
        <v>8</v>
      </c>
      <c r="D2328" s="9">
        <v>0</v>
      </c>
      <c r="E2328" s="8">
        <v>256</v>
      </c>
    </row>
    <row r="2329" s="3" customFormat="1" ht="18.75" spans="1:5">
      <c r="A2329" s="8" t="str">
        <f t="shared" si="41"/>
        <v>250012</v>
      </c>
      <c r="B2329" s="8" t="str">
        <f>"2561402012418"</f>
        <v>2561402012418</v>
      </c>
      <c r="C2329" s="8" t="s">
        <v>8</v>
      </c>
      <c r="D2329" s="9">
        <v>0</v>
      </c>
      <c r="E2329" s="8">
        <v>256</v>
      </c>
    </row>
    <row r="2330" s="3" customFormat="1" ht="18.75" spans="1:5">
      <c r="A2330" s="8" t="str">
        <f t="shared" si="41"/>
        <v>250012</v>
      </c>
      <c r="B2330" s="8" t="str">
        <f>"2561402012419"</f>
        <v>2561402012419</v>
      </c>
      <c r="C2330" s="8" t="s">
        <v>8</v>
      </c>
      <c r="D2330" s="9">
        <v>0</v>
      </c>
      <c r="E2330" s="8">
        <v>256</v>
      </c>
    </row>
    <row r="2331" s="3" customFormat="1" ht="18.75" spans="1:5">
      <c r="A2331" s="8" t="str">
        <f t="shared" si="41"/>
        <v>250012</v>
      </c>
      <c r="B2331" s="8" t="str">
        <f>"2561402012420"</f>
        <v>2561402012420</v>
      </c>
      <c r="C2331" s="8" t="s">
        <v>8</v>
      </c>
      <c r="D2331" s="9">
        <v>0</v>
      </c>
      <c r="E2331" s="8">
        <v>256</v>
      </c>
    </row>
    <row r="2332" s="3" customFormat="1" ht="18.75" spans="1:5">
      <c r="A2332" s="8" t="str">
        <f t="shared" si="41"/>
        <v>250012</v>
      </c>
      <c r="B2332" s="8" t="str">
        <f>"2561402012422"</f>
        <v>2561402012422</v>
      </c>
      <c r="C2332" s="8" t="s">
        <v>8</v>
      </c>
      <c r="D2332" s="9">
        <v>0</v>
      </c>
      <c r="E2332" s="8">
        <v>256</v>
      </c>
    </row>
    <row r="2333" s="3" customFormat="1" ht="18.75" spans="1:5">
      <c r="A2333" s="8" t="str">
        <f t="shared" si="41"/>
        <v>250012</v>
      </c>
      <c r="B2333" s="8" t="str">
        <f>"2561402012425"</f>
        <v>2561402012425</v>
      </c>
      <c r="C2333" s="8" t="s">
        <v>8</v>
      </c>
      <c r="D2333" s="9">
        <v>0</v>
      </c>
      <c r="E2333" s="8">
        <v>256</v>
      </c>
    </row>
    <row r="2334" s="3" customFormat="1" ht="18.75" spans="1:5">
      <c r="A2334" s="8" t="str">
        <f t="shared" si="41"/>
        <v>250012</v>
      </c>
      <c r="B2334" s="8" t="str">
        <f>"2561402012428"</f>
        <v>2561402012428</v>
      </c>
      <c r="C2334" s="8" t="s">
        <v>8</v>
      </c>
      <c r="D2334" s="9">
        <v>0</v>
      </c>
      <c r="E2334" s="8">
        <v>256</v>
      </c>
    </row>
    <row r="2335" s="3" customFormat="1" ht="18.75" spans="1:5">
      <c r="A2335" s="8" t="str">
        <f t="shared" si="41"/>
        <v>250012</v>
      </c>
      <c r="B2335" s="8" t="str">
        <f>"2561402012429"</f>
        <v>2561402012429</v>
      </c>
      <c r="C2335" s="8" t="s">
        <v>8</v>
      </c>
      <c r="D2335" s="9">
        <v>0</v>
      </c>
      <c r="E2335" s="8">
        <v>256</v>
      </c>
    </row>
    <row r="2336" s="3" customFormat="1" ht="18.75" spans="1:5">
      <c r="A2336" s="8" t="str">
        <f t="shared" ref="A2336:A2399" si="42">"250013"</f>
        <v>250013</v>
      </c>
      <c r="B2336" s="8" t="str">
        <f>"2561402013203"</f>
        <v>2561402013203</v>
      </c>
      <c r="C2336" s="8" t="s">
        <v>8</v>
      </c>
      <c r="D2336" s="9">
        <v>70.18</v>
      </c>
      <c r="E2336" s="8">
        <v>1</v>
      </c>
    </row>
    <row r="2337" s="3" customFormat="1" ht="18.75" spans="1:5">
      <c r="A2337" s="8" t="str">
        <f t="shared" si="42"/>
        <v>250013</v>
      </c>
      <c r="B2337" s="8" t="str">
        <f>"2561402012927"</f>
        <v>2561402012927</v>
      </c>
      <c r="C2337" s="8" t="s">
        <v>8</v>
      </c>
      <c r="D2337" s="9">
        <v>69.8</v>
      </c>
      <c r="E2337" s="8">
        <v>2</v>
      </c>
    </row>
    <row r="2338" s="3" customFormat="1" ht="18.75" spans="1:5">
      <c r="A2338" s="8" t="str">
        <f t="shared" si="42"/>
        <v>250013</v>
      </c>
      <c r="B2338" s="8" t="str">
        <f>"2561402012506"</f>
        <v>2561402012506</v>
      </c>
      <c r="C2338" s="8" t="s">
        <v>8</v>
      </c>
      <c r="D2338" s="9">
        <v>69.68</v>
      </c>
      <c r="E2338" s="8">
        <v>3</v>
      </c>
    </row>
    <row r="2339" s="3" customFormat="1" ht="18.75" spans="1:5">
      <c r="A2339" s="8" t="str">
        <f t="shared" si="42"/>
        <v>250013</v>
      </c>
      <c r="B2339" s="8" t="str">
        <f>"2561402013426"</f>
        <v>2561402013426</v>
      </c>
      <c r="C2339" s="8" t="s">
        <v>8</v>
      </c>
      <c r="D2339" s="9">
        <v>69.49</v>
      </c>
      <c r="E2339" s="8">
        <v>4</v>
      </c>
    </row>
    <row r="2340" s="3" customFormat="1" ht="18.75" spans="1:5">
      <c r="A2340" s="8" t="str">
        <f t="shared" si="42"/>
        <v>250013</v>
      </c>
      <c r="B2340" s="8" t="str">
        <f>"2561402013108"</f>
        <v>2561402013108</v>
      </c>
      <c r="C2340" s="8" t="s">
        <v>8</v>
      </c>
      <c r="D2340" s="9">
        <v>69.35</v>
      </c>
      <c r="E2340" s="8">
        <v>5</v>
      </c>
    </row>
    <row r="2341" s="3" customFormat="1" ht="18.75" spans="1:5">
      <c r="A2341" s="8" t="str">
        <f t="shared" si="42"/>
        <v>250013</v>
      </c>
      <c r="B2341" s="8" t="str">
        <f>"2561402013801"</f>
        <v>2561402013801</v>
      </c>
      <c r="C2341" s="8" t="s">
        <v>8</v>
      </c>
      <c r="D2341" s="9">
        <v>69.23</v>
      </c>
      <c r="E2341" s="8">
        <v>6</v>
      </c>
    </row>
    <row r="2342" s="3" customFormat="1" ht="18.75" spans="1:5">
      <c r="A2342" s="8" t="str">
        <f t="shared" si="42"/>
        <v>250013</v>
      </c>
      <c r="B2342" s="8" t="str">
        <f>"2561402012514"</f>
        <v>2561402012514</v>
      </c>
      <c r="C2342" s="8" t="s">
        <v>8</v>
      </c>
      <c r="D2342" s="9">
        <v>67.95</v>
      </c>
      <c r="E2342" s="8">
        <v>7</v>
      </c>
    </row>
    <row r="2343" s="3" customFormat="1" ht="18.75" spans="1:5">
      <c r="A2343" s="8" t="str">
        <f t="shared" si="42"/>
        <v>250013</v>
      </c>
      <c r="B2343" s="8" t="str">
        <f>"2561402013509"</f>
        <v>2561402013509</v>
      </c>
      <c r="C2343" s="8" t="s">
        <v>8</v>
      </c>
      <c r="D2343" s="9">
        <v>67.31</v>
      </c>
      <c r="E2343" s="8">
        <v>8</v>
      </c>
    </row>
    <row r="2344" s="3" customFormat="1" ht="18.75" spans="1:5">
      <c r="A2344" s="8" t="str">
        <f t="shared" si="42"/>
        <v>250013</v>
      </c>
      <c r="B2344" s="8" t="str">
        <f>"2561402013225"</f>
        <v>2561402013225</v>
      </c>
      <c r="C2344" s="8" t="s">
        <v>8</v>
      </c>
      <c r="D2344" s="9">
        <v>66.51</v>
      </c>
      <c r="E2344" s="8">
        <v>9</v>
      </c>
    </row>
    <row r="2345" s="3" customFormat="1" ht="18.75" spans="1:5">
      <c r="A2345" s="8" t="str">
        <f t="shared" si="42"/>
        <v>250013</v>
      </c>
      <c r="B2345" s="8" t="str">
        <f>"2561402012618"</f>
        <v>2561402012618</v>
      </c>
      <c r="C2345" s="8" t="s">
        <v>8</v>
      </c>
      <c r="D2345" s="9">
        <v>66.49</v>
      </c>
      <c r="E2345" s="8">
        <v>10</v>
      </c>
    </row>
    <row r="2346" s="3" customFormat="1" ht="18.75" spans="1:5">
      <c r="A2346" s="8" t="str">
        <f t="shared" si="42"/>
        <v>250013</v>
      </c>
      <c r="B2346" s="8" t="str">
        <f>"2561402013311"</f>
        <v>2561402013311</v>
      </c>
      <c r="C2346" s="8" t="s">
        <v>8</v>
      </c>
      <c r="D2346" s="9">
        <v>66.13</v>
      </c>
      <c r="E2346" s="8">
        <v>11</v>
      </c>
    </row>
    <row r="2347" s="3" customFormat="1" ht="18.75" spans="1:5">
      <c r="A2347" s="8" t="str">
        <f t="shared" si="42"/>
        <v>250013</v>
      </c>
      <c r="B2347" s="8" t="str">
        <f>"2561402013829"</f>
        <v>2561402013829</v>
      </c>
      <c r="C2347" s="8" t="s">
        <v>8</v>
      </c>
      <c r="D2347" s="9">
        <v>66.12</v>
      </c>
      <c r="E2347" s="8">
        <v>12</v>
      </c>
    </row>
    <row r="2348" s="3" customFormat="1" ht="18.75" spans="1:5">
      <c r="A2348" s="8" t="str">
        <f t="shared" si="42"/>
        <v>250013</v>
      </c>
      <c r="B2348" s="8" t="str">
        <f>"2561402012525"</f>
        <v>2561402012525</v>
      </c>
      <c r="C2348" s="8" t="s">
        <v>8</v>
      </c>
      <c r="D2348" s="9">
        <v>65.59</v>
      </c>
      <c r="E2348" s="8">
        <v>13</v>
      </c>
    </row>
    <row r="2349" s="3" customFormat="1" ht="18.75" spans="1:5">
      <c r="A2349" s="8" t="str">
        <f t="shared" si="42"/>
        <v>250013</v>
      </c>
      <c r="B2349" s="8" t="str">
        <f>"2561402012822"</f>
        <v>2561402012822</v>
      </c>
      <c r="C2349" s="8" t="s">
        <v>8</v>
      </c>
      <c r="D2349" s="9">
        <v>65.4</v>
      </c>
      <c r="E2349" s="8">
        <v>14</v>
      </c>
    </row>
    <row r="2350" s="3" customFormat="1" ht="18.75" spans="1:5">
      <c r="A2350" s="8" t="str">
        <f t="shared" si="42"/>
        <v>250013</v>
      </c>
      <c r="B2350" s="8" t="str">
        <f>"2561402013523"</f>
        <v>2561402013523</v>
      </c>
      <c r="C2350" s="8" t="s">
        <v>8</v>
      </c>
      <c r="D2350" s="9">
        <v>65.39</v>
      </c>
      <c r="E2350" s="8">
        <v>15</v>
      </c>
    </row>
    <row r="2351" s="3" customFormat="1" ht="18.75" spans="1:5">
      <c r="A2351" s="8" t="str">
        <f t="shared" si="42"/>
        <v>250013</v>
      </c>
      <c r="B2351" s="8" t="str">
        <f>"2561402012523"</f>
        <v>2561402012523</v>
      </c>
      <c r="C2351" s="8" t="s">
        <v>8</v>
      </c>
      <c r="D2351" s="9">
        <v>65.35</v>
      </c>
      <c r="E2351" s="8">
        <v>16</v>
      </c>
    </row>
    <row r="2352" s="3" customFormat="1" ht="18.75" spans="1:5">
      <c r="A2352" s="8" t="str">
        <f t="shared" si="42"/>
        <v>250013</v>
      </c>
      <c r="B2352" s="8" t="str">
        <f>"2561402012824"</f>
        <v>2561402012824</v>
      </c>
      <c r="C2352" s="8" t="s">
        <v>8</v>
      </c>
      <c r="D2352" s="9">
        <v>65.31</v>
      </c>
      <c r="E2352" s="8">
        <v>17</v>
      </c>
    </row>
    <row r="2353" s="3" customFormat="1" ht="18.75" spans="1:5">
      <c r="A2353" s="8" t="str">
        <f t="shared" si="42"/>
        <v>250013</v>
      </c>
      <c r="B2353" s="8" t="str">
        <f>"2561402013512"</f>
        <v>2561402013512</v>
      </c>
      <c r="C2353" s="8" t="s">
        <v>8</v>
      </c>
      <c r="D2353" s="9">
        <v>65.17</v>
      </c>
      <c r="E2353" s="8">
        <v>18</v>
      </c>
    </row>
    <row r="2354" s="3" customFormat="1" ht="18.75" spans="1:5">
      <c r="A2354" s="8" t="str">
        <f t="shared" si="42"/>
        <v>250013</v>
      </c>
      <c r="B2354" s="8" t="str">
        <f>"2561402013226"</f>
        <v>2561402013226</v>
      </c>
      <c r="C2354" s="8" t="s">
        <v>8</v>
      </c>
      <c r="D2354" s="9">
        <v>65.01</v>
      </c>
      <c r="E2354" s="8">
        <v>19</v>
      </c>
    </row>
    <row r="2355" s="3" customFormat="1" ht="18.75" spans="1:5">
      <c r="A2355" s="8" t="str">
        <f t="shared" si="42"/>
        <v>250013</v>
      </c>
      <c r="B2355" s="8" t="str">
        <f>"2561402013720"</f>
        <v>2561402013720</v>
      </c>
      <c r="C2355" s="8" t="s">
        <v>8</v>
      </c>
      <c r="D2355" s="9">
        <v>64.91</v>
      </c>
      <c r="E2355" s="8">
        <v>20</v>
      </c>
    </row>
    <row r="2356" s="3" customFormat="1" ht="18.75" spans="1:5">
      <c r="A2356" s="8" t="str">
        <f t="shared" si="42"/>
        <v>250013</v>
      </c>
      <c r="B2356" s="8" t="str">
        <f>"2561402013408"</f>
        <v>2561402013408</v>
      </c>
      <c r="C2356" s="8" t="s">
        <v>8</v>
      </c>
      <c r="D2356" s="9">
        <v>64.84</v>
      </c>
      <c r="E2356" s="8">
        <v>21</v>
      </c>
    </row>
    <row r="2357" s="3" customFormat="1" ht="18.75" spans="1:5">
      <c r="A2357" s="8" t="str">
        <f t="shared" si="42"/>
        <v>250013</v>
      </c>
      <c r="B2357" s="8" t="str">
        <f>"2561402012503"</f>
        <v>2561402012503</v>
      </c>
      <c r="C2357" s="8" t="s">
        <v>8</v>
      </c>
      <c r="D2357" s="9">
        <v>64.78</v>
      </c>
      <c r="E2357" s="8">
        <v>22</v>
      </c>
    </row>
    <row r="2358" s="3" customFormat="1" ht="18.75" spans="1:5">
      <c r="A2358" s="8" t="str">
        <f t="shared" si="42"/>
        <v>250013</v>
      </c>
      <c r="B2358" s="8" t="str">
        <f>"2561402013411"</f>
        <v>2561402013411</v>
      </c>
      <c r="C2358" s="8" t="s">
        <v>8</v>
      </c>
      <c r="D2358" s="9">
        <v>64.72</v>
      </c>
      <c r="E2358" s="8">
        <v>23</v>
      </c>
    </row>
    <row r="2359" s="3" customFormat="1" ht="18.75" spans="1:5">
      <c r="A2359" s="8" t="str">
        <f t="shared" si="42"/>
        <v>250013</v>
      </c>
      <c r="B2359" s="8" t="str">
        <f>"2561402013416"</f>
        <v>2561402013416</v>
      </c>
      <c r="C2359" s="8" t="s">
        <v>8</v>
      </c>
      <c r="D2359" s="9">
        <v>64.62</v>
      </c>
      <c r="E2359" s="8">
        <v>24</v>
      </c>
    </row>
    <row r="2360" s="3" customFormat="1" ht="18.75" spans="1:5">
      <c r="A2360" s="8" t="str">
        <f t="shared" si="42"/>
        <v>250013</v>
      </c>
      <c r="B2360" s="8" t="str">
        <f>"2561402013327"</f>
        <v>2561402013327</v>
      </c>
      <c r="C2360" s="8" t="s">
        <v>8</v>
      </c>
      <c r="D2360" s="9">
        <v>64.39</v>
      </c>
      <c r="E2360" s="8">
        <v>25</v>
      </c>
    </row>
    <row r="2361" s="3" customFormat="1" ht="18.75" spans="1:5">
      <c r="A2361" s="8" t="str">
        <f t="shared" si="42"/>
        <v>250013</v>
      </c>
      <c r="B2361" s="8" t="str">
        <f>"2561402012914"</f>
        <v>2561402012914</v>
      </c>
      <c r="C2361" s="8" t="s">
        <v>8</v>
      </c>
      <c r="D2361" s="9">
        <v>64.27</v>
      </c>
      <c r="E2361" s="8">
        <v>26</v>
      </c>
    </row>
    <row r="2362" s="3" customFormat="1" ht="18.75" spans="1:5">
      <c r="A2362" s="8" t="str">
        <f t="shared" si="42"/>
        <v>250013</v>
      </c>
      <c r="B2362" s="8" t="str">
        <f>"2561402012808"</f>
        <v>2561402012808</v>
      </c>
      <c r="C2362" s="8" t="s">
        <v>8</v>
      </c>
      <c r="D2362" s="9">
        <v>63.9</v>
      </c>
      <c r="E2362" s="8">
        <v>27</v>
      </c>
    </row>
    <row r="2363" s="3" customFormat="1" ht="18.75" spans="1:5">
      <c r="A2363" s="8" t="str">
        <f t="shared" si="42"/>
        <v>250013</v>
      </c>
      <c r="B2363" s="8" t="str">
        <f>"2561402013618"</f>
        <v>2561402013618</v>
      </c>
      <c r="C2363" s="8" t="s">
        <v>8</v>
      </c>
      <c r="D2363" s="9">
        <v>63.86</v>
      </c>
      <c r="E2363" s="8">
        <v>28</v>
      </c>
    </row>
    <row r="2364" s="3" customFormat="1" ht="18.75" spans="1:5">
      <c r="A2364" s="8" t="str">
        <f t="shared" si="42"/>
        <v>250013</v>
      </c>
      <c r="B2364" s="8" t="str">
        <f>"2561402013019"</f>
        <v>2561402013019</v>
      </c>
      <c r="C2364" s="8" t="s">
        <v>8</v>
      </c>
      <c r="D2364" s="9">
        <v>63.3</v>
      </c>
      <c r="E2364" s="8">
        <v>29</v>
      </c>
    </row>
    <row r="2365" s="3" customFormat="1" ht="18.75" spans="1:5">
      <c r="A2365" s="8" t="str">
        <f t="shared" si="42"/>
        <v>250013</v>
      </c>
      <c r="B2365" s="8" t="str">
        <f>"2561402012603"</f>
        <v>2561402012603</v>
      </c>
      <c r="C2365" s="8" t="s">
        <v>8</v>
      </c>
      <c r="D2365" s="9">
        <v>63.24</v>
      </c>
      <c r="E2365" s="8">
        <v>30</v>
      </c>
    </row>
    <row r="2366" s="3" customFormat="1" ht="18.75" spans="1:5">
      <c r="A2366" s="8" t="str">
        <f t="shared" si="42"/>
        <v>250013</v>
      </c>
      <c r="B2366" s="8" t="str">
        <f>"2561402013423"</f>
        <v>2561402013423</v>
      </c>
      <c r="C2366" s="8" t="s">
        <v>8</v>
      </c>
      <c r="D2366" s="9">
        <v>63.11</v>
      </c>
      <c r="E2366" s="8">
        <v>31</v>
      </c>
    </row>
    <row r="2367" s="3" customFormat="1" ht="18.75" spans="1:5">
      <c r="A2367" s="8" t="str">
        <f t="shared" si="42"/>
        <v>250013</v>
      </c>
      <c r="B2367" s="8" t="str">
        <f>"2561402013402"</f>
        <v>2561402013402</v>
      </c>
      <c r="C2367" s="8" t="s">
        <v>8</v>
      </c>
      <c r="D2367" s="9">
        <v>63.01</v>
      </c>
      <c r="E2367" s="8">
        <v>32</v>
      </c>
    </row>
    <row r="2368" s="3" customFormat="1" ht="18.75" spans="1:5">
      <c r="A2368" s="8" t="str">
        <f t="shared" si="42"/>
        <v>250013</v>
      </c>
      <c r="B2368" s="8" t="str">
        <f>"2561402012920"</f>
        <v>2561402012920</v>
      </c>
      <c r="C2368" s="8" t="s">
        <v>8</v>
      </c>
      <c r="D2368" s="9">
        <v>62.92</v>
      </c>
      <c r="E2368" s="8">
        <v>33</v>
      </c>
    </row>
    <row r="2369" s="3" customFormat="1" ht="18.75" spans="1:5">
      <c r="A2369" s="8" t="str">
        <f t="shared" si="42"/>
        <v>250013</v>
      </c>
      <c r="B2369" s="8" t="str">
        <f>"2561402012704"</f>
        <v>2561402012704</v>
      </c>
      <c r="C2369" s="8" t="s">
        <v>8</v>
      </c>
      <c r="D2369" s="9">
        <v>62.67</v>
      </c>
      <c r="E2369" s="8">
        <v>34</v>
      </c>
    </row>
    <row r="2370" s="3" customFormat="1" ht="18.75" spans="1:5">
      <c r="A2370" s="8" t="str">
        <f t="shared" si="42"/>
        <v>250013</v>
      </c>
      <c r="B2370" s="8" t="str">
        <f>"2561402012706"</f>
        <v>2561402012706</v>
      </c>
      <c r="C2370" s="8" t="s">
        <v>8</v>
      </c>
      <c r="D2370" s="9">
        <v>62.36</v>
      </c>
      <c r="E2370" s="8">
        <v>35</v>
      </c>
    </row>
    <row r="2371" s="3" customFormat="1" ht="18.75" spans="1:5">
      <c r="A2371" s="8" t="str">
        <f t="shared" si="42"/>
        <v>250013</v>
      </c>
      <c r="B2371" s="8" t="str">
        <f>"2561402012803"</f>
        <v>2561402012803</v>
      </c>
      <c r="C2371" s="8" t="s">
        <v>8</v>
      </c>
      <c r="D2371" s="9">
        <v>62.35</v>
      </c>
      <c r="E2371" s="8">
        <v>36</v>
      </c>
    </row>
    <row r="2372" s="3" customFormat="1" ht="18.75" spans="1:5">
      <c r="A2372" s="8" t="str">
        <f t="shared" si="42"/>
        <v>250013</v>
      </c>
      <c r="B2372" s="8" t="str">
        <f>"2561402013329"</f>
        <v>2561402013329</v>
      </c>
      <c r="C2372" s="8" t="s">
        <v>8</v>
      </c>
      <c r="D2372" s="9">
        <v>62.32</v>
      </c>
      <c r="E2372" s="8">
        <v>37</v>
      </c>
    </row>
    <row r="2373" s="3" customFormat="1" ht="18.75" spans="1:5">
      <c r="A2373" s="8" t="str">
        <f t="shared" si="42"/>
        <v>250013</v>
      </c>
      <c r="B2373" s="8" t="str">
        <f>"2561402013325"</f>
        <v>2561402013325</v>
      </c>
      <c r="C2373" s="8" t="s">
        <v>8</v>
      </c>
      <c r="D2373" s="9">
        <v>62.19</v>
      </c>
      <c r="E2373" s="8">
        <v>38</v>
      </c>
    </row>
    <row r="2374" s="3" customFormat="1" ht="18.75" spans="1:5">
      <c r="A2374" s="8" t="str">
        <f t="shared" si="42"/>
        <v>250013</v>
      </c>
      <c r="B2374" s="8" t="str">
        <f>"2561402013316"</f>
        <v>2561402013316</v>
      </c>
      <c r="C2374" s="8" t="s">
        <v>8</v>
      </c>
      <c r="D2374" s="9">
        <v>62.08</v>
      </c>
      <c r="E2374" s="8">
        <v>39</v>
      </c>
    </row>
    <row r="2375" s="3" customFormat="1" ht="18.75" spans="1:5">
      <c r="A2375" s="8" t="str">
        <f t="shared" si="42"/>
        <v>250013</v>
      </c>
      <c r="B2375" s="8" t="str">
        <f>"2561402012518"</f>
        <v>2561402012518</v>
      </c>
      <c r="C2375" s="8" t="s">
        <v>8</v>
      </c>
      <c r="D2375" s="9">
        <v>62.03</v>
      </c>
      <c r="E2375" s="8">
        <v>40</v>
      </c>
    </row>
    <row r="2376" s="3" customFormat="1" ht="18.75" spans="1:5">
      <c r="A2376" s="8" t="str">
        <f t="shared" si="42"/>
        <v>250013</v>
      </c>
      <c r="B2376" s="8" t="str">
        <f>"2561402013624"</f>
        <v>2561402013624</v>
      </c>
      <c r="C2376" s="8" t="s">
        <v>8</v>
      </c>
      <c r="D2376" s="9">
        <v>62.01</v>
      </c>
      <c r="E2376" s="8">
        <v>41</v>
      </c>
    </row>
    <row r="2377" s="3" customFormat="1" ht="18.75" spans="1:5">
      <c r="A2377" s="8" t="str">
        <f t="shared" si="42"/>
        <v>250013</v>
      </c>
      <c r="B2377" s="8" t="str">
        <f>"2561402012714"</f>
        <v>2561402012714</v>
      </c>
      <c r="C2377" s="8" t="s">
        <v>8</v>
      </c>
      <c r="D2377" s="9">
        <v>61.93</v>
      </c>
      <c r="E2377" s="8">
        <v>42</v>
      </c>
    </row>
    <row r="2378" s="3" customFormat="1" ht="18.75" spans="1:5">
      <c r="A2378" s="8" t="str">
        <f t="shared" si="42"/>
        <v>250013</v>
      </c>
      <c r="B2378" s="8" t="str">
        <f>"2561402013518"</f>
        <v>2561402013518</v>
      </c>
      <c r="C2378" s="8" t="s">
        <v>8</v>
      </c>
      <c r="D2378" s="9">
        <v>61.73</v>
      </c>
      <c r="E2378" s="8">
        <v>43</v>
      </c>
    </row>
    <row r="2379" s="3" customFormat="1" ht="18.75" spans="1:5">
      <c r="A2379" s="8" t="str">
        <f t="shared" si="42"/>
        <v>250013</v>
      </c>
      <c r="B2379" s="8" t="str">
        <f>"2561402013109"</f>
        <v>2561402013109</v>
      </c>
      <c r="C2379" s="8" t="s">
        <v>8</v>
      </c>
      <c r="D2379" s="9">
        <v>61.48</v>
      </c>
      <c r="E2379" s="8">
        <v>44</v>
      </c>
    </row>
    <row r="2380" s="3" customFormat="1" ht="18.75" spans="1:5">
      <c r="A2380" s="8" t="str">
        <f t="shared" si="42"/>
        <v>250013</v>
      </c>
      <c r="B2380" s="8" t="str">
        <f>"2561402013502"</f>
        <v>2561402013502</v>
      </c>
      <c r="C2380" s="8" t="s">
        <v>8</v>
      </c>
      <c r="D2380" s="9">
        <v>61.48</v>
      </c>
      <c r="E2380" s="8">
        <v>44</v>
      </c>
    </row>
    <row r="2381" s="3" customFormat="1" ht="18.75" spans="1:5">
      <c r="A2381" s="8" t="str">
        <f t="shared" si="42"/>
        <v>250013</v>
      </c>
      <c r="B2381" s="8" t="str">
        <f>"2561402012919"</f>
        <v>2561402012919</v>
      </c>
      <c r="C2381" s="8" t="s">
        <v>8</v>
      </c>
      <c r="D2381" s="9">
        <v>61.46</v>
      </c>
      <c r="E2381" s="8">
        <v>46</v>
      </c>
    </row>
    <row r="2382" s="3" customFormat="1" ht="18.75" spans="1:5">
      <c r="A2382" s="8" t="str">
        <f t="shared" si="42"/>
        <v>250013</v>
      </c>
      <c r="B2382" s="8" t="str">
        <f>"2561402013328"</f>
        <v>2561402013328</v>
      </c>
      <c r="C2382" s="8" t="s">
        <v>8</v>
      </c>
      <c r="D2382" s="9">
        <v>61.27</v>
      </c>
      <c r="E2382" s="8">
        <v>47</v>
      </c>
    </row>
    <row r="2383" s="3" customFormat="1" ht="18.75" spans="1:5">
      <c r="A2383" s="8" t="str">
        <f t="shared" si="42"/>
        <v>250013</v>
      </c>
      <c r="B2383" s="8" t="str">
        <f>"2561402013515"</f>
        <v>2561402013515</v>
      </c>
      <c r="C2383" s="8" t="s">
        <v>8</v>
      </c>
      <c r="D2383" s="9">
        <v>61.26</v>
      </c>
      <c r="E2383" s="8">
        <v>48</v>
      </c>
    </row>
    <row r="2384" s="3" customFormat="1" ht="18.75" spans="1:5">
      <c r="A2384" s="8" t="str">
        <f t="shared" si="42"/>
        <v>250013</v>
      </c>
      <c r="B2384" s="8" t="str">
        <f>"2561402013309"</f>
        <v>2561402013309</v>
      </c>
      <c r="C2384" s="8" t="s">
        <v>8</v>
      </c>
      <c r="D2384" s="9">
        <v>61.23</v>
      </c>
      <c r="E2384" s="8">
        <v>49</v>
      </c>
    </row>
    <row r="2385" s="3" customFormat="1" ht="18.75" spans="1:5">
      <c r="A2385" s="8" t="str">
        <f t="shared" si="42"/>
        <v>250013</v>
      </c>
      <c r="B2385" s="8" t="str">
        <f>"2561402013119"</f>
        <v>2561402013119</v>
      </c>
      <c r="C2385" s="8" t="s">
        <v>8</v>
      </c>
      <c r="D2385" s="9">
        <v>61.14</v>
      </c>
      <c r="E2385" s="8">
        <v>50</v>
      </c>
    </row>
    <row r="2386" s="3" customFormat="1" ht="18.75" spans="1:5">
      <c r="A2386" s="8" t="str">
        <f t="shared" si="42"/>
        <v>250013</v>
      </c>
      <c r="B2386" s="8" t="str">
        <f>"2561402012712"</f>
        <v>2561402012712</v>
      </c>
      <c r="C2386" s="8" t="s">
        <v>8</v>
      </c>
      <c r="D2386" s="9">
        <v>61.11</v>
      </c>
      <c r="E2386" s="8">
        <v>51</v>
      </c>
    </row>
    <row r="2387" s="3" customFormat="1" ht="18.75" spans="1:5">
      <c r="A2387" s="8" t="str">
        <f t="shared" si="42"/>
        <v>250013</v>
      </c>
      <c r="B2387" s="8" t="str">
        <f>"2561402013608"</f>
        <v>2561402013608</v>
      </c>
      <c r="C2387" s="8" t="s">
        <v>8</v>
      </c>
      <c r="D2387" s="9">
        <v>60.99</v>
      </c>
      <c r="E2387" s="8">
        <v>52</v>
      </c>
    </row>
    <row r="2388" s="3" customFormat="1" ht="18.75" spans="1:5">
      <c r="A2388" s="8" t="str">
        <f t="shared" si="42"/>
        <v>250013</v>
      </c>
      <c r="B2388" s="8" t="str">
        <f>"2561402013227"</f>
        <v>2561402013227</v>
      </c>
      <c r="C2388" s="8" t="s">
        <v>8</v>
      </c>
      <c r="D2388" s="9">
        <v>60.95</v>
      </c>
      <c r="E2388" s="8">
        <v>53</v>
      </c>
    </row>
    <row r="2389" s="3" customFormat="1" ht="18.75" spans="1:5">
      <c r="A2389" s="8" t="str">
        <f t="shared" si="42"/>
        <v>250013</v>
      </c>
      <c r="B2389" s="8" t="str">
        <f>"2561402012922"</f>
        <v>2561402012922</v>
      </c>
      <c r="C2389" s="8" t="s">
        <v>8</v>
      </c>
      <c r="D2389" s="9">
        <v>60.91</v>
      </c>
      <c r="E2389" s="8">
        <v>54</v>
      </c>
    </row>
    <row r="2390" s="3" customFormat="1" ht="18.75" spans="1:5">
      <c r="A2390" s="8" t="str">
        <f t="shared" si="42"/>
        <v>250013</v>
      </c>
      <c r="B2390" s="8" t="str">
        <f>"2561402013403"</f>
        <v>2561402013403</v>
      </c>
      <c r="C2390" s="8" t="s">
        <v>8</v>
      </c>
      <c r="D2390" s="9">
        <v>60.9</v>
      </c>
      <c r="E2390" s="8">
        <v>55</v>
      </c>
    </row>
    <row r="2391" s="3" customFormat="1" ht="18.75" spans="1:5">
      <c r="A2391" s="8" t="str">
        <f t="shared" si="42"/>
        <v>250013</v>
      </c>
      <c r="B2391" s="8" t="str">
        <f>"2561402012814"</f>
        <v>2561402012814</v>
      </c>
      <c r="C2391" s="8" t="s">
        <v>8</v>
      </c>
      <c r="D2391" s="9">
        <v>60.77</v>
      </c>
      <c r="E2391" s="8">
        <v>56</v>
      </c>
    </row>
    <row r="2392" s="3" customFormat="1" ht="18.75" spans="1:5">
      <c r="A2392" s="8" t="str">
        <f t="shared" si="42"/>
        <v>250013</v>
      </c>
      <c r="B2392" s="8" t="str">
        <f>"2561402012726"</f>
        <v>2561402012726</v>
      </c>
      <c r="C2392" s="8" t="s">
        <v>8</v>
      </c>
      <c r="D2392" s="9">
        <v>60.42</v>
      </c>
      <c r="E2392" s="8">
        <v>57</v>
      </c>
    </row>
    <row r="2393" s="3" customFormat="1" ht="18.75" spans="1:5">
      <c r="A2393" s="8" t="str">
        <f t="shared" si="42"/>
        <v>250013</v>
      </c>
      <c r="B2393" s="8" t="str">
        <f>"2561402013020"</f>
        <v>2561402013020</v>
      </c>
      <c r="C2393" s="8" t="s">
        <v>8</v>
      </c>
      <c r="D2393" s="9">
        <v>60.33</v>
      </c>
      <c r="E2393" s="8">
        <v>58</v>
      </c>
    </row>
    <row r="2394" s="3" customFormat="1" ht="18.75" spans="1:5">
      <c r="A2394" s="8" t="str">
        <f t="shared" si="42"/>
        <v>250013</v>
      </c>
      <c r="B2394" s="8" t="str">
        <f>"2561402012629"</f>
        <v>2561402012629</v>
      </c>
      <c r="C2394" s="8" t="s">
        <v>8</v>
      </c>
      <c r="D2394" s="9">
        <v>60.31</v>
      </c>
      <c r="E2394" s="8">
        <v>59</v>
      </c>
    </row>
    <row r="2395" s="3" customFormat="1" ht="18.75" spans="1:5">
      <c r="A2395" s="8" t="str">
        <f t="shared" si="42"/>
        <v>250013</v>
      </c>
      <c r="B2395" s="8" t="str">
        <f>"2561402013401"</f>
        <v>2561402013401</v>
      </c>
      <c r="C2395" s="8" t="s">
        <v>8</v>
      </c>
      <c r="D2395" s="9">
        <v>60.2</v>
      </c>
      <c r="E2395" s="8">
        <v>60</v>
      </c>
    </row>
    <row r="2396" s="3" customFormat="1" ht="18.75" spans="1:5">
      <c r="A2396" s="8" t="str">
        <f t="shared" si="42"/>
        <v>250013</v>
      </c>
      <c r="B2396" s="8" t="str">
        <f>"2561402012502"</f>
        <v>2561402012502</v>
      </c>
      <c r="C2396" s="8" t="s">
        <v>8</v>
      </c>
      <c r="D2396" s="9">
        <v>60.17</v>
      </c>
      <c r="E2396" s="8">
        <v>61</v>
      </c>
    </row>
    <row r="2397" s="3" customFormat="1" ht="18.75" spans="1:5">
      <c r="A2397" s="8" t="str">
        <f t="shared" si="42"/>
        <v>250013</v>
      </c>
      <c r="B2397" s="8" t="str">
        <f>"2561402012924"</f>
        <v>2561402012924</v>
      </c>
      <c r="C2397" s="8" t="s">
        <v>8</v>
      </c>
      <c r="D2397" s="9">
        <v>60.17</v>
      </c>
      <c r="E2397" s="8">
        <v>61</v>
      </c>
    </row>
    <row r="2398" s="3" customFormat="1" ht="18.75" spans="1:5">
      <c r="A2398" s="8" t="str">
        <f t="shared" si="42"/>
        <v>250013</v>
      </c>
      <c r="B2398" s="8" t="str">
        <f>"2561402013616"</f>
        <v>2561402013616</v>
      </c>
      <c r="C2398" s="8" t="s">
        <v>8</v>
      </c>
      <c r="D2398" s="9">
        <v>59.83</v>
      </c>
      <c r="E2398" s="8">
        <v>63</v>
      </c>
    </row>
    <row r="2399" s="3" customFormat="1" ht="18.75" spans="1:5">
      <c r="A2399" s="8" t="str">
        <f t="shared" si="42"/>
        <v>250013</v>
      </c>
      <c r="B2399" s="8" t="str">
        <f>"2561402013324"</f>
        <v>2561402013324</v>
      </c>
      <c r="C2399" s="8" t="s">
        <v>8</v>
      </c>
      <c r="D2399" s="9">
        <v>59.79</v>
      </c>
      <c r="E2399" s="8">
        <v>64</v>
      </c>
    </row>
    <row r="2400" s="3" customFormat="1" ht="18.75" spans="1:5">
      <c r="A2400" s="8" t="str">
        <f t="shared" ref="A2400:A2463" si="43">"250013"</f>
        <v>250013</v>
      </c>
      <c r="B2400" s="8" t="str">
        <f>"2561402013609"</f>
        <v>2561402013609</v>
      </c>
      <c r="C2400" s="8" t="s">
        <v>8</v>
      </c>
      <c r="D2400" s="9">
        <v>59.66</v>
      </c>
      <c r="E2400" s="8">
        <v>65</v>
      </c>
    </row>
    <row r="2401" s="3" customFormat="1" ht="18.75" spans="1:5">
      <c r="A2401" s="8" t="str">
        <f t="shared" si="43"/>
        <v>250013</v>
      </c>
      <c r="B2401" s="8" t="str">
        <f>"2561402013821"</f>
        <v>2561402013821</v>
      </c>
      <c r="C2401" s="8" t="s">
        <v>8</v>
      </c>
      <c r="D2401" s="9">
        <v>59.63</v>
      </c>
      <c r="E2401" s="8">
        <v>66</v>
      </c>
    </row>
    <row r="2402" s="3" customFormat="1" ht="18.75" spans="1:5">
      <c r="A2402" s="8" t="str">
        <f t="shared" si="43"/>
        <v>250013</v>
      </c>
      <c r="B2402" s="8" t="str">
        <f>"2561402013713"</f>
        <v>2561402013713</v>
      </c>
      <c r="C2402" s="8" t="s">
        <v>8</v>
      </c>
      <c r="D2402" s="9">
        <v>59.4</v>
      </c>
      <c r="E2402" s="8">
        <v>67</v>
      </c>
    </row>
    <row r="2403" s="3" customFormat="1" ht="18.75" spans="1:5">
      <c r="A2403" s="8" t="str">
        <f t="shared" si="43"/>
        <v>250013</v>
      </c>
      <c r="B2403" s="8" t="str">
        <f>"2561402013712"</f>
        <v>2561402013712</v>
      </c>
      <c r="C2403" s="8" t="s">
        <v>8</v>
      </c>
      <c r="D2403" s="9">
        <v>59.39</v>
      </c>
      <c r="E2403" s="8">
        <v>68</v>
      </c>
    </row>
    <row r="2404" s="3" customFormat="1" ht="18.75" spans="1:5">
      <c r="A2404" s="8" t="str">
        <f t="shared" si="43"/>
        <v>250013</v>
      </c>
      <c r="B2404" s="8" t="str">
        <f>"2561402013812"</f>
        <v>2561402013812</v>
      </c>
      <c r="C2404" s="8" t="s">
        <v>8</v>
      </c>
      <c r="D2404" s="9">
        <v>59.36</v>
      </c>
      <c r="E2404" s="8">
        <v>69</v>
      </c>
    </row>
    <row r="2405" s="3" customFormat="1" ht="18.75" spans="1:5">
      <c r="A2405" s="8" t="str">
        <f t="shared" si="43"/>
        <v>250013</v>
      </c>
      <c r="B2405" s="8" t="str">
        <f>"2561402013803"</f>
        <v>2561402013803</v>
      </c>
      <c r="C2405" s="8" t="s">
        <v>8</v>
      </c>
      <c r="D2405" s="9">
        <v>59.25</v>
      </c>
      <c r="E2405" s="8">
        <v>70</v>
      </c>
    </row>
    <row r="2406" s="3" customFormat="1" ht="18.75" spans="1:5">
      <c r="A2406" s="8" t="str">
        <f t="shared" si="43"/>
        <v>250013</v>
      </c>
      <c r="B2406" s="8" t="str">
        <f>"2561402013813"</f>
        <v>2561402013813</v>
      </c>
      <c r="C2406" s="8" t="s">
        <v>8</v>
      </c>
      <c r="D2406" s="9">
        <v>59.24</v>
      </c>
      <c r="E2406" s="8">
        <v>71</v>
      </c>
    </row>
    <row r="2407" s="3" customFormat="1" ht="18.75" spans="1:5">
      <c r="A2407" s="8" t="str">
        <f t="shared" si="43"/>
        <v>250013</v>
      </c>
      <c r="B2407" s="8" t="str">
        <f>"2561402013306"</f>
        <v>2561402013306</v>
      </c>
      <c r="C2407" s="8" t="s">
        <v>8</v>
      </c>
      <c r="D2407" s="9">
        <v>59.15</v>
      </c>
      <c r="E2407" s="8">
        <v>72</v>
      </c>
    </row>
    <row r="2408" s="3" customFormat="1" ht="18.75" spans="1:5">
      <c r="A2408" s="8" t="str">
        <f t="shared" si="43"/>
        <v>250013</v>
      </c>
      <c r="B2408" s="8" t="str">
        <f>"2561402012601"</f>
        <v>2561402012601</v>
      </c>
      <c r="C2408" s="8" t="s">
        <v>8</v>
      </c>
      <c r="D2408" s="9">
        <v>59.07</v>
      </c>
      <c r="E2408" s="8">
        <v>73</v>
      </c>
    </row>
    <row r="2409" s="3" customFormat="1" ht="18.75" spans="1:5">
      <c r="A2409" s="8" t="str">
        <f t="shared" si="43"/>
        <v>250013</v>
      </c>
      <c r="B2409" s="8" t="str">
        <f>"2561402012614"</f>
        <v>2561402012614</v>
      </c>
      <c r="C2409" s="8" t="s">
        <v>8</v>
      </c>
      <c r="D2409" s="9">
        <v>58.95</v>
      </c>
      <c r="E2409" s="8">
        <v>74</v>
      </c>
    </row>
    <row r="2410" s="3" customFormat="1" ht="18.75" spans="1:5">
      <c r="A2410" s="8" t="str">
        <f t="shared" si="43"/>
        <v>250013</v>
      </c>
      <c r="B2410" s="8" t="str">
        <f>"2561402012906"</f>
        <v>2561402012906</v>
      </c>
      <c r="C2410" s="8" t="s">
        <v>8</v>
      </c>
      <c r="D2410" s="9">
        <v>58.87</v>
      </c>
      <c r="E2410" s="8">
        <v>75</v>
      </c>
    </row>
    <row r="2411" s="3" customFormat="1" ht="18.75" spans="1:5">
      <c r="A2411" s="8" t="str">
        <f t="shared" si="43"/>
        <v>250013</v>
      </c>
      <c r="B2411" s="8" t="str">
        <f>"2561402012513"</f>
        <v>2561402012513</v>
      </c>
      <c r="C2411" s="8" t="s">
        <v>8</v>
      </c>
      <c r="D2411" s="9">
        <v>58.86</v>
      </c>
      <c r="E2411" s="8">
        <v>76</v>
      </c>
    </row>
    <row r="2412" s="3" customFormat="1" ht="18.75" spans="1:5">
      <c r="A2412" s="8" t="str">
        <f t="shared" si="43"/>
        <v>250013</v>
      </c>
      <c r="B2412" s="8" t="str">
        <f>"2561402013421"</f>
        <v>2561402013421</v>
      </c>
      <c r="C2412" s="8" t="s">
        <v>8</v>
      </c>
      <c r="D2412" s="9">
        <v>58.83</v>
      </c>
      <c r="E2412" s="8">
        <v>77</v>
      </c>
    </row>
    <row r="2413" s="3" customFormat="1" ht="18.75" spans="1:5">
      <c r="A2413" s="8" t="str">
        <f t="shared" si="43"/>
        <v>250013</v>
      </c>
      <c r="B2413" s="8" t="str">
        <f>"2561402013623"</f>
        <v>2561402013623</v>
      </c>
      <c r="C2413" s="8" t="s">
        <v>8</v>
      </c>
      <c r="D2413" s="9">
        <v>58.81</v>
      </c>
      <c r="E2413" s="8">
        <v>78</v>
      </c>
    </row>
    <row r="2414" s="3" customFormat="1" ht="18.75" spans="1:5">
      <c r="A2414" s="8" t="str">
        <f t="shared" si="43"/>
        <v>250013</v>
      </c>
      <c r="B2414" s="8" t="str">
        <f>"2561402013427"</f>
        <v>2561402013427</v>
      </c>
      <c r="C2414" s="8" t="s">
        <v>8</v>
      </c>
      <c r="D2414" s="9">
        <v>58.8</v>
      </c>
      <c r="E2414" s="8">
        <v>79</v>
      </c>
    </row>
    <row r="2415" s="3" customFormat="1" ht="18.75" spans="1:5">
      <c r="A2415" s="8" t="str">
        <f t="shared" si="43"/>
        <v>250013</v>
      </c>
      <c r="B2415" s="8" t="str">
        <f>"2561402013115"</f>
        <v>2561402013115</v>
      </c>
      <c r="C2415" s="8" t="s">
        <v>8</v>
      </c>
      <c r="D2415" s="9">
        <v>58.75</v>
      </c>
      <c r="E2415" s="8">
        <v>80</v>
      </c>
    </row>
    <row r="2416" s="3" customFormat="1" ht="18.75" spans="1:5">
      <c r="A2416" s="8" t="str">
        <f t="shared" si="43"/>
        <v>250013</v>
      </c>
      <c r="B2416" s="8" t="str">
        <f>"2561402012912"</f>
        <v>2561402012912</v>
      </c>
      <c r="C2416" s="8" t="s">
        <v>8</v>
      </c>
      <c r="D2416" s="9">
        <v>58.64</v>
      </c>
      <c r="E2416" s="8">
        <v>81</v>
      </c>
    </row>
    <row r="2417" s="3" customFormat="1" ht="18.75" spans="1:5">
      <c r="A2417" s="8" t="str">
        <f t="shared" si="43"/>
        <v>250013</v>
      </c>
      <c r="B2417" s="8" t="str">
        <f>"2561402013210"</f>
        <v>2561402013210</v>
      </c>
      <c r="C2417" s="8" t="s">
        <v>8</v>
      </c>
      <c r="D2417" s="9">
        <v>58.62</v>
      </c>
      <c r="E2417" s="8">
        <v>82</v>
      </c>
    </row>
    <row r="2418" s="3" customFormat="1" ht="18.75" spans="1:5">
      <c r="A2418" s="8" t="str">
        <f t="shared" si="43"/>
        <v>250013</v>
      </c>
      <c r="B2418" s="8" t="str">
        <f>"2561402012818"</f>
        <v>2561402012818</v>
      </c>
      <c r="C2418" s="8" t="s">
        <v>8</v>
      </c>
      <c r="D2418" s="9">
        <v>58.6</v>
      </c>
      <c r="E2418" s="8">
        <v>83</v>
      </c>
    </row>
    <row r="2419" s="3" customFormat="1" ht="18.75" spans="1:5">
      <c r="A2419" s="8" t="str">
        <f t="shared" si="43"/>
        <v>250013</v>
      </c>
      <c r="B2419" s="8" t="str">
        <f>"2561402012730"</f>
        <v>2561402012730</v>
      </c>
      <c r="C2419" s="8" t="s">
        <v>8</v>
      </c>
      <c r="D2419" s="9">
        <v>58.47</v>
      </c>
      <c r="E2419" s="8">
        <v>84</v>
      </c>
    </row>
    <row r="2420" s="3" customFormat="1" ht="18.75" spans="1:5">
      <c r="A2420" s="8" t="str">
        <f t="shared" si="43"/>
        <v>250013</v>
      </c>
      <c r="B2420" s="8" t="str">
        <f>"2561402012904"</f>
        <v>2561402012904</v>
      </c>
      <c r="C2420" s="8" t="s">
        <v>8</v>
      </c>
      <c r="D2420" s="9">
        <v>58.42</v>
      </c>
      <c r="E2420" s="8">
        <v>85</v>
      </c>
    </row>
    <row r="2421" s="3" customFormat="1" ht="18.75" spans="1:5">
      <c r="A2421" s="8" t="str">
        <f t="shared" si="43"/>
        <v>250013</v>
      </c>
      <c r="B2421" s="8" t="str">
        <f>"2561402012724"</f>
        <v>2561402012724</v>
      </c>
      <c r="C2421" s="8" t="s">
        <v>8</v>
      </c>
      <c r="D2421" s="9">
        <v>58.37</v>
      </c>
      <c r="E2421" s="8">
        <v>86</v>
      </c>
    </row>
    <row r="2422" s="3" customFormat="1" ht="18.75" spans="1:5">
      <c r="A2422" s="8" t="str">
        <f t="shared" si="43"/>
        <v>250013</v>
      </c>
      <c r="B2422" s="8" t="str">
        <f>"2561402013129"</f>
        <v>2561402013129</v>
      </c>
      <c r="C2422" s="8" t="s">
        <v>8</v>
      </c>
      <c r="D2422" s="9">
        <v>58.32</v>
      </c>
      <c r="E2422" s="8">
        <v>87</v>
      </c>
    </row>
    <row r="2423" s="3" customFormat="1" ht="18.75" spans="1:5">
      <c r="A2423" s="8" t="str">
        <f t="shared" si="43"/>
        <v>250013</v>
      </c>
      <c r="B2423" s="8" t="str">
        <f>"2561402012902"</f>
        <v>2561402012902</v>
      </c>
      <c r="C2423" s="8" t="s">
        <v>8</v>
      </c>
      <c r="D2423" s="9">
        <v>58.3</v>
      </c>
      <c r="E2423" s="8">
        <v>88</v>
      </c>
    </row>
    <row r="2424" s="3" customFormat="1" ht="18.75" spans="1:5">
      <c r="A2424" s="8" t="str">
        <f t="shared" si="43"/>
        <v>250013</v>
      </c>
      <c r="B2424" s="8" t="str">
        <f>"2561402013307"</f>
        <v>2561402013307</v>
      </c>
      <c r="C2424" s="8" t="s">
        <v>8</v>
      </c>
      <c r="D2424" s="9">
        <v>57.82</v>
      </c>
      <c r="E2424" s="8">
        <v>89</v>
      </c>
    </row>
    <row r="2425" s="3" customFormat="1" ht="18.75" spans="1:5">
      <c r="A2425" s="8" t="str">
        <f t="shared" si="43"/>
        <v>250013</v>
      </c>
      <c r="B2425" s="8" t="str">
        <f>"2561402013516"</f>
        <v>2561402013516</v>
      </c>
      <c r="C2425" s="8" t="s">
        <v>8</v>
      </c>
      <c r="D2425" s="9">
        <v>57.59</v>
      </c>
      <c r="E2425" s="8">
        <v>90</v>
      </c>
    </row>
    <row r="2426" s="3" customFormat="1" ht="18.75" spans="1:5">
      <c r="A2426" s="8" t="str">
        <f t="shared" si="43"/>
        <v>250013</v>
      </c>
      <c r="B2426" s="8" t="str">
        <f>"2561402013120"</f>
        <v>2561402013120</v>
      </c>
      <c r="C2426" s="8" t="s">
        <v>8</v>
      </c>
      <c r="D2426" s="9">
        <v>57.57</v>
      </c>
      <c r="E2426" s="8">
        <v>91</v>
      </c>
    </row>
    <row r="2427" s="3" customFormat="1" ht="18.75" spans="1:5">
      <c r="A2427" s="8" t="str">
        <f t="shared" si="43"/>
        <v>250013</v>
      </c>
      <c r="B2427" s="8" t="str">
        <f>"2561402012621"</f>
        <v>2561402012621</v>
      </c>
      <c r="C2427" s="8" t="s">
        <v>8</v>
      </c>
      <c r="D2427" s="9">
        <v>57.49</v>
      </c>
      <c r="E2427" s="8">
        <v>92</v>
      </c>
    </row>
    <row r="2428" s="3" customFormat="1" ht="18.75" spans="1:5">
      <c r="A2428" s="8" t="str">
        <f t="shared" si="43"/>
        <v>250013</v>
      </c>
      <c r="B2428" s="8" t="str">
        <f>"2561402013301"</f>
        <v>2561402013301</v>
      </c>
      <c r="C2428" s="8" t="s">
        <v>8</v>
      </c>
      <c r="D2428" s="9">
        <v>57.43</v>
      </c>
      <c r="E2428" s="8">
        <v>93</v>
      </c>
    </row>
    <row r="2429" s="3" customFormat="1" ht="18.75" spans="1:5">
      <c r="A2429" s="8" t="str">
        <f t="shared" si="43"/>
        <v>250013</v>
      </c>
      <c r="B2429" s="8" t="str">
        <f>"2561402013606"</f>
        <v>2561402013606</v>
      </c>
      <c r="C2429" s="8" t="s">
        <v>8</v>
      </c>
      <c r="D2429" s="9">
        <v>57.39</v>
      </c>
      <c r="E2429" s="8">
        <v>94</v>
      </c>
    </row>
    <row r="2430" s="3" customFormat="1" ht="18.75" spans="1:5">
      <c r="A2430" s="8" t="str">
        <f t="shared" si="43"/>
        <v>250013</v>
      </c>
      <c r="B2430" s="8" t="str">
        <f>"2561402013527"</f>
        <v>2561402013527</v>
      </c>
      <c r="C2430" s="8" t="s">
        <v>8</v>
      </c>
      <c r="D2430" s="9">
        <v>57.38</v>
      </c>
      <c r="E2430" s="8">
        <v>95</v>
      </c>
    </row>
    <row r="2431" s="3" customFormat="1" ht="18.75" spans="1:5">
      <c r="A2431" s="8" t="str">
        <f t="shared" si="43"/>
        <v>250013</v>
      </c>
      <c r="B2431" s="8" t="str">
        <f>"2561402013617"</f>
        <v>2561402013617</v>
      </c>
      <c r="C2431" s="8" t="s">
        <v>8</v>
      </c>
      <c r="D2431" s="9">
        <v>57.22</v>
      </c>
      <c r="E2431" s="8">
        <v>96</v>
      </c>
    </row>
    <row r="2432" s="3" customFormat="1" ht="18.75" spans="1:5">
      <c r="A2432" s="8" t="str">
        <f t="shared" si="43"/>
        <v>250013</v>
      </c>
      <c r="B2432" s="8" t="str">
        <f>"2561402013711"</f>
        <v>2561402013711</v>
      </c>
      <c r="C2432" s="8" t="s">
        <v>8</v>
      </c>
      <c r="D2432" s="9">
        <v>57.21</v>
      </c>
      <c r="E2432" s="8">
        <v>97</v>
      </c>
    </row>
    <row r="2433" s="3" customFormat="1" ht="18.75" spans="1:5">
      <c r="A2433" s="8" t="str">
        <f t="shared" si="43"/>
        <v>250013</v>
      </c>
      <c r="B2433" s="8" t="str">
        <f>"2561402012908"</f>
        <v>2561402012908</v>
      </c>
      <c r="C2433" s="8" t="s">
        <v>8</v>
      </c>
      <c r="D2433" s="9">
        <v>57.07</v>
      </c>
      <c r="E2433" s="8">
        <v>98</v>
      </c>
    </row>
    <row r="2434" s="3" customFormat="1" ht="18.75" spans="1:5">
      <c r="A2434" s="8" t="str">
        <f t="shared" si="43"/>
        <v>250013</v>
      </c>
      <c r="B2434" s="8" t="str">
        <f>"2561402013124"</f>
        <v>2561402013124</v>
      </c>
      <c r="C2434" s="8" t="s">
        <v>8</v>
      </c>
      <c r="D2434" s="9">
        <v>57.05</v>
      </c>
      <c r="E2434" s="8">
        <v>99</v>
      </c>
    </row>
    <row r="2435" s="3" customFormat="1" ht="18.75" spans="1:5">
      <c r="A2435" s="8" t="str">
        <f t="shared" si="43"/>
        <v>250013</v>
      </c>
      <c r="B2435" s="8" t="str">
        <f>"2561402013702"</f>
        <v>2561402013702</v>
      </c>
      <c r="C2435" s="8" t="s">
        <v>8</v>
      </c>
      <c r="D2435" s="9">
        <v>57.03</v>
      </c>
      <c r="E2435" s="8">
        <v>100</v>
      </c>
    </row>
    <row r="2436" s="3" customFormat="1" ht="18.75" spans="1:5">
      <c r="A2436" s="8" t="str">
        <f t="shared" si="43"/>
        <v>250013</v>
      </c>
      <c r="B2436" s="8" t="str">
        <f>"2561402013507"</f>
        <v>2561402013507</v>
      </c>
      <c r="C2436" s="8" t="s">
        <v>8</v>
      </c>
      <c r="D2436" s="9">
        <v>56.97</v>
      </c>
      <c r="E2436" s="8">
        <v>101</v>
      </c>
    </row>
    <row r="2437" s="3" customFormat="1" ht="18.75" spans="1:5">
      <c r="A2437" s="8" t="str">
        <f t="shared" si="43"/>
        <v>250013</v>
      </c>
      <c r="B2437" s="8" t="str">
        <f>"2561402012624"</f>
        <v>2561402012624</v>
      </c>
      <c r="C2437" s="8" t="s">
        <v>8</v>
      </c>
      <c r="D2437" s="9">
        <v>56.96</v>
      </c>
      <c r="E2437" s="8">
        <v>102</v>
      </c>
    </row>
    <row r="2438" s="3" customFormat="1" ht="18.75" spans="1:5">
      <c r="A2438" s="8" t="str">
        <f t="shared" si="43"/>
        <v>250013</v>
      </c>
      <c r="B2438" s="8" t="str">
        <f>"2561402013201"</f>
        <v>2561402013201</v>
      </c>
      <c r="C2438" s="8" t="s">
        <v>8</v>
      </c>
      <c r="D2438" s="9">
        <v>56.87</v>
      </c>
      <c r="E2438" s="8">
        <v>103</v>
      </c>
    </row>
    <row r="2439" s="3" customFormat="1" ht="18.75" spans="1:5">
      <c r="A2439" s="8" t="str">
        <f t="shared" si="43"/>
        <v>250013</v>
      </c>
      <c r="B2439" s="8" t="str">
        <f>"2561402012512"</f>
        <v>2561402012512</v>
      </c>
      <c r="C2439" s="8" t="s">
        <v>8</v>
      </c>
      <c r="D2439" s="9">
        <v>56.86</v>
      </c>
      <c r="E2439" s="8">
        <v>104</v>
      </c>
    </row>
    <row r="2440" s="3" customFormat="1" ht="18.75" spans="1:5">
      <c r="A2440" s="8" t="str">
        <f t="shared" si="43"/>
        <v>250013</v>
      </c>
      <c r="B2440" s="8" t="str">
        <f>"2561402013810"</f>
        <v>2561402013810</v>
      </c>
      <c r="C2440" s="8" t="s">
        <v>8</v>
      </c>
      <c r="D2440" s="9">
        <v>56.83</v>
      </c>
      <c r="E2440" s="8">
        <v>105</v>
      </c>
    </row>
    <row r="2441" s="3" customFormat="1" ht="18.75" spans="1:5">
      <c r="A2441" s="8" t="str">
        <f t="shared" si="43"/>
        <v>250013</v>
      </c>
      <c r="B2441" s="8" t="str">
        <f>"2561402013326"</f>
        <v>2561402013326</v>
      </c>
      <c r="C2441" s="8" t="s">
        <v>8</v>
      </c>
      <c r="D2441" s="9">
        <v>56.82</v>
      </c>
      <c r="E2441" s="8">
        <v>106</v>
      </c>
    </row>
    <row r="2442" s="3" customFormat="1" ht="18.75" spans="1:5">
      <c r="A2442" s="8" t="str">
        <f t="shared" si="43"/>
        <v>250013</v>
      </c>
      <c r="B2442" s="8" t="str">
        <f>"2561402012719"</f>
        <v>2561402012719</v>
      </c>
      <c r="C2442" s="8" t="s">
        <v>8</v>
      </c>
      <c r="D2442" s="9">
        <v>56.76</v>
      </c>
      <c r="E2442" s="8">
        <v>107</v>
      </c>
    </row>
    <row r="2443" s="3" customFormat="1" ht="18.75" spans="1:5">
      <c r="A2443" s="8" t="str">
        <f t="shared" si="43"/>
        <v>250013</v>
      </c>
      <c r="B2443" s="8" t="str">
        <f>"2561402012605"</f>
        <v>2561402012605</v>
      </c>
      <c r="C2443" s="8" t="s">
        <v>8</v>
      </c>
      <c r="D2443" s="9">
        <v>56.72</v>
      </c>
      <c r="E2443" s="8">
        <v>108</v>
      </c>
    </row>
    <row r="2444" s="3" customFormat="1" ht="18.75" spans="1:5">
      <c r="A2444" s="8" t="str">
        <f t="shared" si="43"/>
        <v>250013</v>
      </c>
      <c r="B2444" s="8" t="str">
        <f>"2561402012819"</f>
        <v>2561402012819</v>
      </c>
      <c r="C2444" s="8" t="s">
        <v>8</v>
      </c>
      <c r="D2444" s="9">
        <v>56.68</v>
      </c>
      <c r="E2444" s="8">
        <v>109</v>
      </c>
    </row>
    <row r="2445" s="3" customFormat="1" ht="18.75" spans="1:5">
      <c r="A2445" s="8" t="str">
        <f t="shared" si="43"/>
        <v>250013</v>
      </c>
      <c r="B2445" s="8" t="str">
        <f>"2561402012812"</f>
        <v>2561402012812</v>
      </c>
      <c r="C2445" s="8" t="s">
        <v>8</v>
      </c>
      <c r="D2445" s="9">
        <v>56.67</v>
      </c>
      <c r="E2445" s="8">
        <v>110</v>
      </c>
    </row>
    <row r="2446" s="3" customFormat="1" ht="18.75" spans="1:5">
      <c r="A2446" s="8" t="str">
        <f t="shared" si="43"/>
        <v>250013</v>
      </c>
      <c r="B2446" s="8" t="str">
        <f>"2561402013222"</f>
        <v>2561402013222</v>
      </c>
      <c r="C2446" s="8" t="s">
        <v>8</v>
      </c>
      <c r="D2446" s="9">
        <v>56.65</v>
      </c>
      <c r="E2446" s="8">
        <v>111</v>
      </c>
    </row>
    <row r="2447" s="3" customFormat="1" ht="18.75" spans="1:5">
      <c r="A2447" s="8" t="str">
        <f t="shared" si="43"/>
        <v>250013</v>
      </c>
      <c r="B2447" s="8" t="str">
        <f>"2561402013218"</f>
        <v>2561402013218</v>
      </c>
      <c r="C2447" s="8" t="s">
        <v>8</v>
      </c>
      <c r="D2447" s="9">
        <v>56.64</v>
      </c>
      <c r="E2447" s="8">
        <v>112</v>
      </c>
    </row>
    <row r="2448" s="3" customFormat="1" ht="18.75" spans="1:5">
      <c r="A2448" s="8" t="str">
        <f t="shared" si="43"/>
        <v>250013</v>
      </c>
      <c r="B2448" s="8" t="str">
        <f>"2561402013409"</f>
        <v>2561402013409</v>
      </c>
      <c r="C2448" s="8" t="s">
        <v>8</v>
      </c>
      <c r="D2448" s="9">
        <v>56.6</v>
      </c>
      <c r="E2448" s="8">
        <v>113</v>
      </c>
    </row>
    <row r="2449" s="3" customFormat="1" ht="18.75" spans="1:5">
      <c r="A2449" s="8" t="str">
        <f t="shared" si="43"/>
        <v>250013</v>
      </c>
      <c r="B2449" s="8" t="str">
        <f>"2561402013317"</f>
        <v>2561402013317</v>
      </c>
      <c r="C2449" s="8" t="s">
        <v>8</v>
      </c>
      <c r="D2449" s="9">
        <v>56.58</v>
      </c>
      <c r="E2449" s="8">
        <v>114</v>
      </c>
    </row>
    <row r="2450" s="3" customFormat="1" ht="18.75" spans="1:5">
      <c r="A2450" s="8" t="str">
        <f t="shared" si="43"/>
        <v>250013</v>
      </c>
      <c r="B2450" s="8" t="str">
        <f>"2561402012521"</f>
        <v>2561402012521</v>
      </c>
      <c r="C2450" s="8" t="s">
        <v>8</v>
      </c>
      <c r="D2450" s="9">
        <v>56.57</v>
      </c>
      <c r="E2450" s="8">
        <v>115</v>
      </c>
    </row>
    <row r="2451" s="3" customFormat="1" ht="18.75" spans="1:5">
      <c r="A2451" s="8" t="str">
        <f t="shared" si="43"/>
        <v>250013</v>
      </c>
      <c r="B2451" s="8" t="str">
        <f>"2561402013412"</f>
        <v>2561402013412</v>
      </c>
      <c r="C2451" s="8" t="s">
        <v>8</v>
      </c>
      <c r="D2451" s="9">
        <v>56.56</v>
      </c>
      <c r="E2451" s="8">
        <v>116</v>
      </c>
    </row>
    <row r="2452" s="3" customFormat="1" ht="18.75" spans="1:5">
      <c r="A2452" s="8" t="str">
        <f t="shared" si="43"/>
        <v>250013</v>
      </c>
      <c r="B2452" s="8" t="str">
        <f>"2561402013726"</f>
        <v>2561402013726</v>
      </c>
      <c r="C2452" s="8" t="s">
        <v>8</v>
      </c>
      <c r="D2452" s="9">
        <v>56.55</v>
      </c>
      <c r="E2452" s="8">
        <v>117</v>
      </c>
    </row>
    <row r="2453" s="3" customFormat="1" ht="18.75" spans="1:5">
      <c r="A2453" s="8" t="str">
        <f t="shared" si="43"/>
        <v>250013</v>
      </c>
      <c r="B2453" s="8" t="str">
        <f>"2561402013727"</f>
        <v>2561402013727</v>
      </c>
      <c r="C2453" s="8" t="s">
        <v>8</v>
      </c>
      <c r="D2453" s="9">
        <v>56.29</v>
      </c>
      <c r="E2453" s="8">
        <v>118</v>
      </c>
    </row>
    <row r="2454" s="3" customFormat="1" ht="18.75" spans="1:5">
      <c r="A2454" s="8" t="str">
        <f t="shared" si="43"/>
        <v>250013</v>
      </c>
      <c r="B2454" s="8" t="str">
        <f>"2561402013007"</f>
        <v>2561402013007</v>
      </c>
      <c r="C2454" s="8" t="s">
        <v>8</v>
      </c>
      <c r="D2454" s="9">
        <v>56.11</v>
      </c>
      <c r="E2454" s="8">
        <v>119</v>
      </c>
    </row>
    <row r="2455" s="3" customFormat="1" ht="18.75" spans="1:5">
      <c r="A2455" s="8" t="str">
        <f t="shared" si="43"/>
        <v>250013</v>
      </c>
      <c r="B2455" s="8" t="str">
        <f>"2561402013601"</f>
        <v>2561402013601</v>
      </c>
      <c r="C2455" s="8" t="s">
        <v>8</v>
      </c>
      <c r="D2455" s="9">
        <v>56.05</v>
      </c>
      <c r="E2455" s="8">
        <v>120</v>
      </c>
    </row>
    <row r="2456" s="3" customFormat="1" ht="18.75" spans="1:5">
      <c r="A2456" s="8" t="str">
        <f t="shared" si="43"/>
        <v>250013</v>
      </c>
      <c r="B2456" s="8" t="str">
        <f>"2561402013314"</f>
        <v>2561402013314</v>
      </c>
      <c r="C2456" s="8" t="s">
        <v>8</v>
      </c>
      <c r="D2456" s="9">
        <v>56.03</v>
      </c>
      <c r="E2456" s="8">
        <v>121</v>
      </c>
    </row>
    <row r="2457" s="3" customFormat="1" ht="18.75" spans="1:5">
      <c r="A2457" s="8" t="str">
        <f t="shared" si="43"/>
        <v>250013</v>
      </c>
      <c r="B2457" s="8" t="str">
        <f>"2561402013123"</f>
        <v>2561402013123</v>
      </c>
      <c r="C2457" s="8" t="s">
        <v>8</v>
      </c>
      <c r="D2457" s="9">
        <v>55.96</v>
      </c>
      <c r="E2457" s="8">
        <v>122</v>
      </c>
    </row>
    <row r="2458" s="3" customFormat="1" ht="18.75" spans="1:5">
      <c r="A2458" s="8" t="str">
        <f t="shared" si="43"/>
        <v>250013</v>
      </c>
      <c r="B2458" s="8" t="str">
        <f>"2561402013013"</f>
        <v>2561402013013</v>
      </c>
      <c r="C2458" s="8" t="s">
        <v>8</v>
      </c>
      <c r="D2458" s="9">
        <v>55.95</v>
      </c>
      <c r="E2458" s="8">
        <v>123</v>
      </c>
    </row>
    <row r="2459" s="3" customFormat="1" ht="18.75" spans="1:5">
      <c r="A2459" s="8" t="str">
        <f t="shared" si="43"/>
        <v>250013</v>
      </c>
      <c r="B2459" s="8" t="str">
        <f>"2561402013320"</f>
        <v>2561402013320</v>
      </c>
      <c r="C2459" s="8" t="s">
        <v>8</v>
      </c>
      <c r="D2459" s="9">
        <v>55.88</v>
      </c>
      <c r="E2459" s="8">
        <v>124</v>
      </c>
    </row>
    <row r="2460" s="3" customFormat="1" ht="18.75" spans="1:5">
      <c r="A2460" s="8" t="str">
        <f t="shared" si="43"/>
        <v>250013</v>
      </c>
      <c r="B2460" s="8" t="str">
        <f>"2561402012509"</f>
        <v>2561402012509</v>
      </c>
      <c r="C2460" s="8" t="s">
        <v>8</v>
      </c>
      <c r="D2460" s="9">
        <v>55.84</v>
      </c>
      <c r="E2460" s="8">
        <v>125</v>
      </c>
    </row>
    <row r="2461" s="3" customFormat="1" ht="18.75" spans="1:5">
      <c r="A2461" s="8" t="str">
        <f t="shared" si="43"/>
        <v>250013</v>
      </c>
      <c r="B2461" s="8" t="str">
        <f>"2561402013003"</f>
        <v>2561402013003</v>
      </c>
      <c r="C2461" s="8" t="s">
        <v>8</v>
      </c>
      <c r="D2461" s="9">
        <v>55.64</v>
      </c>
      <c r="E2461" s="8">
        <v>126</v>
      </c>
    </row>
    <row r="2462" s="3" customFormat="1" ht="18.75" spans="1:5">
      <c r="A2462" s="8" t="str">
        <f t="shared" si="43"/>
        <v>250013</v>
      </c>
      <c r="B2462" s="8" t="str">
        <f>"2561402013407"</f>
        <v>2561402013407</v>
      </c>
      <c r="C2462" s="8" t="s">
        <v>8</v>
      </c>
      <c r="D2462" s="9">
        <v>55.59</v>
      </c>
      <c r="E2462" s="8">
        <v>127</v>
      </c>
    </row>
    <row r="2463" s="3" customFormat="1" ht="18.75" spans="1:5">
      <c r="A2463" s="8" t="str">
        <f t="shared" si="43"/>
        <v>250013</v>
      </c>
      <c r="B2463" s="8" t="str">
        <f>"2561402013815"</f>
        <v>2561402013815</v>
      </c>
      <c r="C2463" s="8" t="s">
        <v>8</v>
      </c>
      <c r="D2463" s="9">
        <v>55.47</v>
      </c>
      <c r="E2463" s="8">
        <v>128</v>
      </c>
    </row>
    <row r="2464" s="3" customFormat="1" ht="18.75" spans="1:5">
      <c r="A2464" s="8" t="str">
        <f t="shared" ref="A2464:A2527" si="44">"250013"</f>
        <v>250013</v>
      </c>
      <c r="B2464" s="8" t="str">
        <f>"2561402013703"</f>
        <v>2561402013703</v>
      </c>
      <c r="C2464" s="8" t="s">
        <v>8</v>
      </c>
      <c r="D2464" s="9">
        <v>55.46</v>
      </c>
      <c r="E2464" s="8">
        <v>129</v>
      </c>
    </row>
    <row r="2465" s="3" customFormat="1" ht="18.75" spans="1:5">
      <c r="A2465" s="8" t="str">
        <f t="shared" si="44"/>
        <v>250013</v>
      </c>
      <c r="B2465" s="8" t="str">
        <f>"2561402013730"</f>
        <v>2561402013730</v>
      </c>
      <c r="C2465" s="8" t="s">
        <v>8</v>
      </c>
      <c r="D2465" s="9">
        <v>55.46</v>
      </c>
      <c r="E2465" s="8">
        <v>129</v>
      </c>
    </row>
    <row r="2466" s="3" customFormat="1" ht="18.75" spans="1:5">
      <c r="A2466" s="8" t="str">
        <f t="shared" si="44"/>
        <v>250013</v>
      </c>
      <c r="B2466" s="8" t="str">
        <f>"2561402013830"</f>
        <v>2561402013830</v>
      </c>
      <c r="C2466" s="8" t="s">
        <v>8</v>
      </c>
      <c r="D2466" s="9">
        <v>55.44</v>
      </c>
      <c r="E2466" s="8">
        <v>131</v>
      </c>
    </row>
    <row r="2467" s="3" customFormat="1" ht="18.75" spans="1:5">
      <c r="A2467" s="8" t="str">
        <f t="shared" si="44"/>
        <v>250013</v>
      </c>
      <c r="B2467" s="8" t="str">
        <f>"2561402013025"</f>
        <v>2561402013025</v>
      </c>
      <c r="C2467" s="8" t="s">
        <v>8</v>
      </c>
      <c r="D2467" s="9">
        <v>55.32</v>
      </c>
      <c r="E2467" s="8">
        <v>132</v>
      </c>
    </row>
    <row r="2468" s="3" customFormat="1" ht="18.75" spans="1:5">
      <c r="A2468" s="8" t="str">
        <f t="shared" si="44"/>
        <v>250013</v>
      </c>
      <c r="B2468" s="8" t="str">
        <f>"2561402013112"</f>
        <v>2561402013112</v>
      </c>
      <c r="C2468" s="8" t="s">
        <v>8</v>
      </c>
      <c r="D2468" s="9">
        <v>55.32</v>
      </c>
      <c r="E2468" s="8">
        <v>132</v>
      </c>
    </row>
    <row r="2469" s="3" customFormat="1" ht="18.75" spans="1:5">
      <c r="A2469" s="8" t="str">
        <f t="shared" si="44"/>
        <v>250013</v>
      </c>
      <c r="B2469" s="8" t="str">
        <f>"2561402013128"</f>
        <v>2561402013128</v>
      </c>
      <c r="C2469" s="8" t="s">
        <v>8</v>
      </c>
      <c r="D2469" s="9">
        <v>55.24</v>
      </c>
      <c r="E2469" s="8">
        <v>134</v>
      </c>
    </row>
    <row r="2470" s="3" customFormat="1" ht="18.75" spans="1:5">
      <c r="A2470" s="8" t="str">
        <f t="shared" si="44"/>
        <v>250013</v>
      </c>
      <c r="B2470" s="8" t="str">
        <f>"2561402012616"</f>
        <v>2561402012616</v>
      </c>
      <c r="C2470" s="8" t="s">
        <v>8</v>
      </c>
      <c r="D2470" s="9">
        <v>55.22</v>
      </c>
      <c r="E2470" s="8">
        <v>135</v>
      </c>
    </row>
    <row r="2471" s="3" customFormat="1" ht="18.75" spans="1:5">
      <c r="A2471" s="8" t="str">
        <f t="shared" si="44"/>
        <v>250013</v>
      </c>
      <c r="B2471" s="8" t="str">
        <f>"2561402013613"</f>
        <v>2561402013613</v>
      </c>
      <c r="C2471" s="8" t="s">
        <v>8</v>
      </c>
      <c r="D2471" s="9">
        <v>55.22</v>
      </c>
      <c r="E2471" s="8">
        <v>135</v>
      </c>
    </row>
    <row r="2472" s="3" customFormat="1" ht="18.75" spans="1:5">
      <c r="A2472" s="8" t="str">
        <f t="shared" si="44"/>
        <v>250013</v>
      </c>
      <c r="B2472" s="8" t="str">
        <f>"2561402012802"</f>
        <v>2561402012802</v>
      </c>
      <c r="C2472" s="8" t="s">
        <v>8</v>
      </c>
      <c r="D2472" s="9">
        <v>55.16</v>
      </c>
      <c r="E2472" s="8">
        <v>137</v>
      </c>
    </row>
    <row r="2473" s="3" customFormat="1" ht="18.75" spans="1:5">
      <c r="A2473" s="8" t="str">
        <f t="shared" si="44"/>
        <v>250013</v>
      </c>
      <c r="B2473" s="8" t="str">
        <f>"2561402012611"</f>
        <v>2561402012611</v>
      </c>
      <c r="C2473" s="8" t="s">
        <v>8</v>
      </c>
      <c r="D2473" s="9">
        <v>55.14</v>
      </c>
      <c r="E2473" s="8">
        <v>138</v>
      </c>
    </row>
    <row r="2474" s="3" customFormat="1" ht="18.75" spans="1:5">
      <c r="A2474" s="8" t="str">
        <f t="shared" si="44"/>
        <v>250013</v>
      </c>
      <c r="B2474" s="8" t="str">
        <f>"2561402013005"</f>
        <v>2561402013005</v>
      </c>
      <c r="C2474" s="8" t="s">
        <v>8</v>
      </c>
      <c r="D2474" s="9">
        <v>55.06</v>
      </c>
      <c r="E2474" s="8">
        <v>139</v>
      </c>
    </row>
    <row r="2475" s="3" customFormat="1" ht="18.75" spans="1:5">
      <c r="A2475" s="8" t="str">
        <f t="shared" si="44"/>
        <v>250013</v>
      </c>
      <c r="B2475" s="8" t="str">
        <f>"2561402012527"</f>
        <v>2561402012527</v>
      </c>
      <c r="C2475" s="8" t="s">
        <v>8</v>
      </c>
      <c r="D2475" s="9">
        <v>55.04</v>
      </c>
      <c r="E2475" s="8">
        <v>140</v>
      </c>
    </row>
    <row r="2476" s="3" customFormat="1" ht="18.75" spans="1:5">
      <c r="A2476" s="8" t="str">
        <f t="shared" si="44"/>
        <v>250013</v>
      </c>
      <c r="B2476" s="8" t="str">
        <f>"2561402013825"</f>
        <v>2561402013825</v>
      </c>
      <c r="C2476" s="8" t="s">
        <v>8</v>
      </c>
      <c r="D2476" s="9">
        <v>54.94</v>
      </c>
      <c r="E2476" s="8">
        <v>141</v>
      </c>
    </row>
    <row r="2477" s="3" customFormat="1" ht="18.75" spans="1:5">
      <c r="A2477" s="8" t="str">
        <f t="shared" si="44"/>
        <v>250013</v>
      </c>
      <c r="B2477" s="8" t="str">
        <f>"2561402012810"</f>
        <v>2561402012810</v>
      </c>
      <c r="C2477" s="8" t="s">
        <v>8</v>
      </c>
      <c r="D2477" s="9">
        <v>54.93</v>
      </c>
      <c r="E2477" s="8">
        <v>142</v>
      </c>
    </row>
    <row r="2478" s="3" customFormat="1" ht="18.75" spans="1:5">
      <c r="A2478" s="8" t="str">
        <f t="shared" si="44"/>
        <v>250013</v>
      </c>
      <c r="B2478" s="8" t="str">
        <f>"2561402013116"</f>
        <v>2561402013116</v>
      </c>
      <c r="C2478" s="8" t="s">
        <v>8</v>
      </c>
      <c r="D2478" s="9">
        <v>54.83</v>
      </c>
      <c r="E2478" s="8">
        <v>143</v>
      </c>
    </row>
    <row r="2479" s="3" customFormat="1" ht="18.75" spans="1:5">
      <c r="A2479" s="8" t="str">
        <f t="shared" si="44"/>
        <v>250013</v>
      </c>
      <c r="B2479" s="8" t="str">
        <f>"2561402013205"</f>
        <v>2561402013205</v>
      </c>
      <c r="C2479" s="8" t="s">
        <v>8</v>
      </c>
      <c r="D2479" s="9">
        <v>54.62</v>
      </c>
      <c r="E2479" s="8">
        <v>144</v>
      </c>
    </row>
    <row r="2480" s="3" customFormat="1" ht="18.75" spans="1:5">
      <c r="A2480" s="8" t="str">
        <f t="shared" si="44"/>
        <v>250013</v>
      </c>
      <c r="B2480" s="8" t="str">
        <f>"2561402013130"</f>
        <v>2561402013130</v>
      </c>
      <c r="C2480" s="8" t="s">
        <v>8</v>
      </c>
      <c r="D2480" s="9">
        <v>54.49</v>
      </c>
      <c r="E2480" s="8">
        <v>145</v>
      </c>
    </row>
    <row r="2481" s="3" customFormat="1" ht="18.75" spans="1:5">
      <c r="A2481" s="8" t="str">
        <f t="shared" si="44"/>
        <v>250013</v>
      </c>
      <c r="B2481" s="8" t="str">
        <f>"2561402013207"</f>
        <v>2561402013207</v>
      </c>
      <c r="C2481" s="8" t="s">
        <v>8</v>
      </c>
      <c r="D2481" s="9">
        <v>54.38</v>
      </c>
      <c r="E2481" s="8">
        <v>146</v>
      </c>
    </row>
    <row r="2482" s="3" customFormat="1" ht="18.75" spans="1:5">
      <c r="A2482" s="8" t="str">
        <f t="shared" si="44"/>
        <v>250013</v>
      </c>
      <c r="B2482" s="8" t="str">
        <f>"2561402013819"</f>
        <v>2561402013819</v>
      </c>
      <c r="C2482" s="8" t="s">
        <v>8</v>
      </c>
      <c r="D2482" s="9">
        <v>54.31</v>
      </c>
      <c r="E2482" s="8">
        <v>147</v>
      </c>
    </row>
    <row r="2483" s="3" customFormat="1" ht="18.75" spans="1:5">
      <c r="A2483" s="8" t="str">
        <f t="shared" si="44"/>
        <v>250013</v>
      </c>
      <c r="B2483" s="8" t="str">
        <f>"2561402013028"</f>
        <v>2561402013028</v>
      </c>
      <c r="C2483" s="8" t="s">
        <v>8</v>
      </c>
      <c r="D2483" s="9">
        <v>54.29</v>
      </c>
      <c r="E2483" s="8">
        <v>148</v>
      </c>
    </row>
    <row r="2484" s="3" customFormat="1" ht="18.75" spans="1:5">
      <c r="A2484" s="8" t="str">
        <f t="shared" si="44"/>
        <v>250013</v>
      </c>
      <c r="B2484" s="8" t="str">
        <f>"2561402013415"</f>
        <v>2561402013415</v>
      </c>
      <c r="C2484" s="8" t="s">
        <v>8</v>
      </c>
      <c r="D2484" s="9">
        <v>54.06</v>
      </c>
      <c r="E2484" s="8">
        <v>149</v>
      </c>
    </row>
    <row r="2485" s="3" customFormat="1" ht="18.75" spans="1:5">
      <c r="A2485" s="8" t="str">
        <f t="shared" si="44"/>
        <v>250013</v>
      </c>
      <c r="B2485" s="8" t="str">
        <f>"2561402013525"</f>
        <v>2561402013525</v>
      </c>
      <c r="C2485" s="8" t="s">
        <v>8</v>
      </c>
      <c r="D2485" s="9">
        <v>53.8</v>
      </c>
      <c r="E2485" s="8">
        <v>150</v>
      </c>
    </row>
    <row r="2486" s="3" customFormat="1" ht="18.75" spans="1:5">
      <c r="A2486" s="8" t="str">
        <f t="shared" si="44"/>
        <v>250013</v>
      </c>
      <c r="B2486" s="8" t="str">
        <f>"2561402013629"</f>
        <v>2561402013629</v>
      </c>
      <c r="C2486" s="8" t="s">
        <v>8</v>
      </c>
      <c r="D2486" s="9">
        <v>53.78</v>
      </c>
      <c r="E2486" s="8">
        <v>151</v>
      </c>
    </row>
    <row r="2487" s="3" customFormat="1" ht="18.75" spans="1:5">
      <c r="A2487" s="8" t="str">
        <f t="shared" si="44"/>
        <v>250013</v>
      </c>
      <c r="B2487" s="8" t="str">
        <f>"2561402013704"</f>
        <v>2561402013704</v>
      </c>
      <c r="C2487" s="8" t="s">
        <v>8</v>
      </c>
      <c r="D2487" s="9">
        <v>53.75</v>
      </c>
      <c r="E2487" s="8">
        <v>152</v>
      </c>
    </row>
    <row r="2488" s="3" customFormat="1" ht="18.75" spans="1:5">
      <c r="A2488" s="8" t="str">
        <f t="shared" si="44"/>
        <v>250013</v>
      </c>
      <c r="B2488" s="8" t="str">
        <f>"2561402012619"</f>
        <v>2561402012619</v>
      </c>
      <c r="C2488" s="8" t="s">
        <v>8</v>
      </c>
      <c r="D2488" s="9">
        <v>53.63</v>
      </c>
      <c r="E2488" s="8">
        <v>153</v>
      </c>
    </row>
    <row r="2489" s="3" customFormat="1" ht="18.75" spans="1:5">
      <c r="A2489" s="8" t="str">
        <f t="shared" si="44"/>
        <v>250013</v>
      </c>
      <c r="B2489" s="8" t="str">
        <f>"2561402013023"</f>
        <v>2561402013023</v>
      </c>
      <c r="C2489" s="8" t="s">
        <v>8</v>
      </c>
      <c r="D2489" s="9">
        <v>53.51</v>
      </c>
      <c r="E2489" s="8">
        <v>154</v>
      </c>
    </row>
    <row r="2490" s="3" customFormat="1" ht="18.75" spans="1:5">
      <c r="A2490" s="8" t="str">
        <f t="shared" si="44"/>
        <v>250013</v>
      </c>
      <c r="B2490" s="8" t="str">
        <f>"2561402012511"</f>
        <v>2561402012511</v>
      </c>
      <c r="C2490" s="8" t="s">
        <v>8</v>
      </c>
      <c r="D2490" s="9">
        <v>53.47</v>
      </c>
      <c r="E2490" s="8">
        <v>155</v>
      </c>
    </row>
    <row r="2491" s="3" customFormat="1" ht="18.75" spans="1:5">
      <c r="A2491" s="8" t="str">
        <f t="shared" si="44"/>
        <v>250013</v>
      </c>
      <c r="B2491" s="8" t="str">
        <f>"2561402013820"</f>
        <v>2561402013820</v>
      </c>
      <c r="C2491" s="8" t="s">
        <v>8</v>
      </c>
      <c r="D2491" s="9">
        <v>53.41</v>
      </c>
      <c r="E2491" s="8">
        <v>156</v>
      </c>
    </row>
    <row r="2492" s="3" customFormat="1" ht="18.75" spans="1:5">
      <c r="A2492" s="8" t="str">
        <f t="shared" si="44"/>
        <v>250013</v>
      </c>
      <c r="B2492" s="8" t="str">
        <f>"2561402013802"</f>
        <v>2561402013802</v>
      </c>
      <c r="C2492" s="8" t="s">
        <v>8</v>
      </c>
      <c r="D2492" s="9">
        <v>53.39</v>
      </c>
      <c r="E2492" s="8">
        <v>157</v>
      </c>
    </row>
    <row r="2493" s="3" customFormat="1" ht="18.75" spans="1:5">
      <c r="A2493" s="8" t="str">
        <f t="shared" si="44"/>
        <v>250013</v>
      </c>
      <c r="B2493" s="8" t="str">
        <f>"2561402012830"</f>
        <v>2561402012830</v>
      </c>
      <c r="C2493" s="8" t="s">
        <v>8</v>
      </c>
      <c r="D2493" s="9">
        <v>53.31</v>
      </c>
      <c r="E2493" s="8">
        <v>158</v>
      </c>
    </row>
    <row r="2494" s="3" customFormat="1" ht="18.75" spans="1:5">
      <c r="A2494" s="8" t="str">
        <f t="shared" si="44"/>
        <v>250013</v>
      </c>
      <c r="B2494" s="8" t="str">
        <f>"2561402013603"</f>
        <v>2561402013603</v>
      </c>
      <c r="C2494" s="8" t="s">
        <v>8</v>
      </c>
      <c r="D2494" s="9">
        <v>53.25</v>
      </c>
      <c r="E2494" s="8">
        <v>159</v>
      </c>
    </row>
    <row r="2495" s="3" customFormat="1" ht="18.75" spans="1:5">
      <c r="A2495" s="8" t="str">
        <f t="shared" si="44"/>
        <v>250013</v>
      </c>
      <c r="B2495" s="8" t="str">
        <f>"2561402013021"</f>
        <v>2561402013021</v>
      </c>
      <c r="C2495" s="8" t="s">
        <v>8</v>
      </c>
      <c r="D2495" s="9">
        <v>53.23</v>
      </c>
      <c r="E2495" s="8">
        <v>160</v>
      </c>
    </row>
    <row r="2496" s="3" customFormat="1" ht="18.75" spans="1:5">
      <c r="A2496" s="8" t="str">
        <f t="shared" si="44"/>
        <v>250013</v>
      </c>
      <c r="B2496" s="8" t="str">
        <f>"2561402012801"</f>
        <v>2561402012801</v>
      </c>
      <c r="C2496" s="8" t="s">
        <v>8</v>
      </c>
      <c r="D2496" s="9">
        <v>53.03</v>
      </c>
      <c r="E2496" s="8">
        <v>161</v>
      </c>
    </row>
    <row r="2497" s="3" customFormat="1" ht="18.75" spans="1:5">
      <c r="A2497" s="8" t="str">
        <f t="shared" si="44"/>
        <v>250013</v>
      </c>
      <c r="B2497" s="8" t="str">
        <f>"2561402013505"</f>
        <v>2561402013505</v>
      </c>
      <c r="C2497" s="8" t="s">
        <v>8</v>
      </c>
      <c r="D2497" s="9">
        <v>52.95</v>
      </c>
      <c r="E2497" s="8">
        <v>162</v>
      </c>
    </row>
    <row r="2498" s="3" customFormat="1" ht="18.75" spans="1:5">
      <c r="A2498" s="8" t="str">
        <f t="shared" si="44"/>
        <v>250013</v>
      </c>
      <c r="B2498" s="8" t="str">
        <f>"2561402013511"</f>
        <v>2561402013511</v>
      </c>
      <c r="C2498" s="8" t="s">
        <v>8</v>
      </c>
      <c r="D2498" s="9">
        <v>52.91</v>
      </c>
      <c r="E2498" s="8">
        <v>163</v>
      </c>
    </row>
    <row r="2499" s="3" customFormat="1" ht="18.75" spans="1:5">
      <c r="A2499" s="8" t="str">
        <f t="shared" si="44"/>
        <v>250013</v>
      </c>
      <c r="B2499" s="8" t="str">
        <f>"2561402012821"</f>
        <v>2561402012821</v>
      </c>
      <c r="C2499" s="8" t="s">
        <v>8</v>
      </c>
      <c r="D2499" s="9">
        <v>52.31</v>
      </c>
      <c r="E2499" s="8">
        <v>164</v>
      </c>
    </row>
    <row r="2500" s="3" customFormat="1" ht="18.75" spans="1:5">
      <c r="A2500" s="8" t="str">
        <f t="shared" si="44"/>
        <v>250013</v>
      </c>
      <c r="B2500" s="8" t="str">
        <f>"2561402013303"</f>
        <v>2561402013303</v>
      </c>
      <c r="C2500" s="8" t="s">
        <v>8</v>
      </c>
      <c r="D2500" s="9">
        <v>52.09</v>
      </c>
      <c r="E2500" s="8">
        <v>165</v>
      </c>
    </row>
    <row r="2501" s="3" customFormat="1" ht="18.75" spans="1:5">
      <c r="A2501" s="8" t="str">
        <f t="shared" si="44"/>
        <v>250013</v>
      </c>
      <c r="B2501" s="8" t="str">
        <f>"2561402013105"</f>
        <v>2561402013105</v>
      </c>
      <c r="C2501" s="8" t="s">
        <v>8</v>
      </c>
      <c r="D2501" s="9">
        <v>52.04</v>
      </c>
      <c r="E2501" s="8">
        <v>166</v>
      </c>
    </row>
    <row r="2502" s="3" customFormat="1" ht="18.75" spans="1:5">
      <c r="A2502" s="8" t="str">
        <f t="shared" si="44"/>
        <v>250013</v>
      </c>
      <c r="B2502" s="8" t="str">
        <f>"2561402013811"</f>
        <v>2561402013811</v>
      </c>
      <c r="C2502" s="8" t="s">
        <v>8</v>
      </c>
      <c r="D2502" s="9">
        <v>51.89</v>
      </c>
      <c r="E2502" s="8">
        <v>167</v>
      </c>
    </row>
    <row r="2503" s="3" customFormat="1" ht="18.75" spans="1:5">
      <c r="A2503" s="8" t="str">
        <f t="shared" si="44"/>
        <v>250013</v>
      </c>
      <c r="B2503" s="8" t="str">
        <f>"2561402013828"</f>
        <v>2561402013828</v>
      </c>
      <c r="C2503" s="8" t="s">
        <v>8</v>
      </c>
      <c r="D2503" s="9">
        <v>51.78</v>
      </c>
      <c r="E2503" s="8">
        <v>168</v>
      </c>
    </row>
    <row r="2504" s="3" customFormat="1" ht="18.75" spans="1:5">
      <c r="A2504" s="8" t="str">
        <f t="shared" si="44"/>
        <v>250013</v>
      </c>
      <c r="B2504" s="8" t="str">
        <f>"2561402013506"</f>
        <v>2561402013506</v>
      </c>
      <c r="C2504" s="8" t="s">
        <v>8</v>
      </c>
      <c r="D2504" s="9">
        <v>51.71</v>
      </c>
      <c r="E2504" s="8">
        <v>169</v>
      </c>
    </row>
    <row r="2505" s="3" customFormat="1" ht="18.75" spans="1:5">
      <c r="A2505" s="8" t="str">
        <f t="shared" si="44"/>
        <v>250013</v>
      </c>
      <c r="B2505" s="8" t="str">
        <f>"2561402012718"</f>
        <v>2561402012718</v>
      </c>
      <c r="C2505" s="8" t="s">
        <v>8</v>
      </c>
      <c r="D2505" s="9">
        <v>51.64</v>
      </c>
      <c r="E2505" s="8">
        <v>170</v>
      </c>
    </row>
    <row r="2506" s="3" customFormat="1" ht="18.75" spans="1:5">
      <c r="A2506" s="8" t="str">
        <f t="shared" si="44"/>
        <v>250013</v>
      </c>
      <c r="B2506" s="8" t="str">
        <f>"2561402012811"</f>
        <v>2561402012811</v>
      </c>
      <c r="C2506" s="8" t="s">
        <v>8</v>
      </c>
      <c r="D2506" s="9">
        <v>51.24</v>
      </c>
      <c r="E2506" s="8">
        <v>171</v>
      </c>
    </row>
    <row r="2507" s="3" customFormat="1" ht="18.75" spans="1:5">
      <c r="A2507" s="8" t="str">
        <f t="shared" si="44"/>
        <v>250013</v>
      </c>
      <c r="B2507" s="8" t="str">
        <f>"2561402013014"</f>
        <v>2561402013014</v>
      </c>
      <c r="C2507" s="8" t="s">
        <v>8</v>
      </c>
      <c r="D2507" s="9">
        <v>50.77</v>
      </c>
      <c r="E2507" s="8">
        <v>172</v>
      </c>
    </row>
    <row r="2508" s="3" customFormat="1" ht="18.75" spans="1:5">
      <c r="A2508" s="8" t="str">
        <f t="shared" si="44"/>
        <v>250013</v>
      </c>
      <c r="B2508" s="8" t="str">
        <f>"2561402012909"</f>
        <v>2561402012909</v>
      </c>
      <c r="C2508" s="8" t="s">
        <v>8</v>
      </c>
      <c r="D2508" s="9">
        <v>50.42</v>
      </c>
      <c r="E2508" s="8">
        <v>173</v>
      </c>
    </row>
    <row r="2509" s="3" customFormat="1" ht="18.75" spans="1:5">
      <c r="A2509" s="8" t="str">
        <f t="shared" si="44"/>
        <v>250013</v>
      </c>
      <c r="B2509" s="8" t="str">
        <f>"2561402013627"</f>
        <v>2561402013627</v>
      </c>
      <c r="C2509" s="8" t="s">
        <v>8</v>
      </c>
      <c r="D2509" s="9">
        <v>50.32</v>
      </c>
      <c r="E2509" s="8">
        <v>174</v>
      </c>
    </row>
    <row r="2510" s="3" customFormat="1" ht="18.75" spans="1:5">
      <c r="A2510" s="8" t="str">
        <f t="shared" si="44"/>
        <v>250013</v>
      </c>
      <c r="B2510" s="8" t="str">
        <f>"2561402012915"</f>
        <v>2561402012915</v>
      </c>
      <c r="C2510" s="8" t="s">
        <v>8</v>
      </c>
      <c r="D2510" s="9">
        <v>50.25</v>
      </c>
      <c r="E2510" s="8">
        <v>175</v>
      </c>
    </row>
    <row r="2511" s="3" customFormat="1" ht="18.75" spans="1:5">
      <c r="A2511" s="8" t="str">
        <f t="shared" si="44"/>
        <v>250013</v>
      </c>
      <c r="B2511" s="8" t="str">
        <f>"2561402012727"</f>
        <v>2561402012727</v>
      </c>
      <c r="C2511" s="8" t="s">
        <v>8</v>
      </c>
      <c r="D2511" s="9">
        <v>50.16</v>
      </c>
      <c r="E2511" s="8">
        <v>176</v>
      </c>
    </row>
    <row r="2512" s="3" customFormat="1" ht="18.75" spans="1:5">
      <c r="A2512" s="8" t="str">
        <f t="shared" si="44"/>
        <v>250013</v>
      </c>
      <c r="B2512" s="8" t="str">
        <f>"2561402013709"</f>
        <v>2561402013709</v>
      </c>
      <c r="C2512" s="8" t="s">
        <v>8</v>
      </c>
      <c r="D2512" s="9">
        <v>50.16</v>
      </c>
      <c r="E2512" s="8">
        <v>176</v>
      </c>
    </row>
    <row r="2513" s="3" customFormat="1" ht="18.75" spans="1:5">
      <c r="A2513" s="8" t="str">
        <f t="shared" si="44"/>
        <v>250013</v>
      </c>
      <c r="B2513" s="8" t="str">
        <f>"2561402012813"</f>
        <v>2561402012813</v>
      </c>
      <c r="C2513" s="8" t="s">
        <v>8</v>
      </c>
      <c r="D2513" s="9">
        <v>50.1</v>
      </c>
      <c r="E2513" s="8">
        <v>178</v>
      </c>
    </row>
    <row r="2514" s="3" customFormat="1" ht="18.75" spans="1:5">
      <c r="A2514" s="8" t="str">
        <f t="shared" si="44"/>
        <v>250013</v>
      </c>
      <c r="B2514" s="8" t="str">
        <f>"2561402013417"</f>
        <v>2561402013417</v>
      </c>
      <c r="C2514" s="8" t="s">
        <v>8</v>
      </c>
      <c r="D2514" s="9">
        <v>49.99</v>
      </c>
      <c r="E2514" s="8">
        <v>179</v>
      </c>
    </row>
    <row r="2515" s="3" customFormat="1" ht="18.75" spans="1:5">
      <c r="A2515" s="8" t="str">
        <f t="shared" si="44"/>
        <v>250013</v>
      </c>
      <c r="B2515" s="8" t="str">
        <f>"2561402013330"</f>
        <v>2561402013330</v>
      </c>
      <c r="C2515" s="8" t="s">
        <v>8</v>
      </c>
      <c r="D2515" s="9">
        <v>49.98</v>
      </c>
      <c r="E2515" s="8">
        <v>180</v>
      </c>
    </row>
    <row r="2516" s="3" customFormat="1" ht="18.75" spans="1:5">
      <c r="A2516" s="8" t="str">
        <f t="shared" si="44"/>
        <v>250013</v>
      </c>
      <c r="B2516" s="8" t="str">
        <f>"2561402013715"</f>
        <v>2561402013715</v>
      </c>
      <c r="C2516" s="8" t="s">
        <v>8</v>
      </c>
      <c r="D2516" s="9">
        <v>49.9</v>
      </c>
      <c r="E2516" s="8">
        <v>181</v>
      </c>
    </row>
    <row r="2517" s="3" customFormat="1" ht="18.75" spans="1:5">
      <c r="A2517" s="8" t="str">
        <f t="shared" si="44"/>
        <v>250013</v>
      </c>
      <c r="B2517" s="8" t="str">
        <f>"2561402013026"</f>
        <v>2561402013026</v>
      </c>
      <c r="C2517" s="8" t="s">
        <v>8</v>
      </c>
      <c r="D2517" s="9">
        <v>49.87</v>
      </c>
      <c r="E2517" s="8">
        <v>182</v>
      </c>
    </row>
    <row r="2518" s="3" customFormat="1" ht="18.75" spans="1:5">
      <c r="A2518" s="8" t="str">
        <f t="shared" si="44"/>
        <v>250013</v>
      </c>
      <c r="B2518" s="8" t="str">
        <f>"2561402012917"</f>
        <v>2561402012917</v>
      </c>
      <c r="C2518" s="8" t="s">
        <v>8</v>
      </c>
      <c r="D2518" s="9">
        <v>49.65</v>
      </c>
      <c r="E2518" s="8">
        <v>183</v>
      </c>
    </row>
    <row r="2519" s="3" customFormat="1" ht="18.75" spans="1:5">
      <c r="A2519" s="8" t="str">
        <f t="shared" si="44"/>
        <v>250013</v>
      </c>
      <c r="B2519" s="8" t="str">
        <f>"2561402013725"</f>
        <v>2561402013725</v>
      </c>
      <c r="C2519" s="8" t="s">
        <v>8</v>
      </c>
      <c r="D2519" s="9">
        <v>49.63</v>
      </c>
      <c r="E2519" s="8">
        <v>184</v>
      </c>
    </row>
    <row r="2520" s="3" customFormat="1" ht="18.75" spans="1:5">
      <c r="A2520" s="8" t="str">
        <f t="shared" si="44"/>
        <v>250013</v>
      </c>
      <c r="B2520" s="8" t="str">
        <f>"2561402012829"</f>
        <v>2561402012829</v>
      </c>
      <c r="C2520" s="8" t="s">
        <v>8</v>
      </c>
      <c r="D2520" s="9">
        <v>49.52</v>
      </c>
      <c r="E2520" s="8">
        <v>185</v>
      </c>
    </row>
    <row r="2521" s="3" customFormat="1" ht="18.75" spans="1:5">
      <c r="A2521" s="8" t="str">
        <f t="shared" si="44"/>
        <v>250013</v>
      </c>
      <c r="B2521" s="8" t="str">
        <f>"2561402013310"</f>
        <v>2561402013310</v>
      </c>
      <c r="C2521" s="8" t="s">
        <v>8</v>
      </c>
      <c r="D2521" s="9">
        <v>49.23</v>
      </c>
      <c r="E2521" s="8">
        <v>186</v>
      </c>
    </row>
    <row r="2522" s="3" customFormat="1" ht="18.75" spans="1:5">
      <c r="A2522" s="8" t="str">
        <f t="shared" si="44"/>
        <v>250013</v>
      </c>
      <c r="B2522" s="8" t="str">
        <f>"2561402013228"</f>
        <v>2561402013228</v>
      </c>
      <c r="C2522" s="8" t="s">
        <v>8</v>
      </c>
      <c r="D2522" s="9">
        <v>49.19</v>
      </c>
      <c r="E2522" s="8">
        <v>187</v>
      </c>
    </row>
    <row r="2523" s="3" customFormat="1" ht="18.75" spans="1:5">
      <c r="A2523" s="8" t="str">
        <f t="shared" si="44"/>
        <v>250013</v>
      </c>
      <c r="B2523" s="8" t="str">
        <f>"2561402012701"</f>
        <v>2561402012701</v>
      </c>
      <c r="C2523" s="8" t="s">
        <v>8</v>
      </c>
      <c r="D2523" s="9">
        <v>49.14</v>
      </c>
      <c r="E2523" s="8">
        <v>188</v>
      </c>
    </row>
    <row r="2524" s="3" customFormat="1" ht="18.75" spans="1:5">
      <c r="A2524" s="8" t="str">
        <f t="shared" si="44"/>
        <v>250013</v>
      </c>
      <c r="B2524" s="8" t="str">
        <f>"2561402013206"</f>
        <v>2561402013206</v>
      </c>
      <c r="C2524" s="8" t="s">
        <v>8</v>
      </c>
      <c r="D2524" s="9">
        <v>49.14</v>
      </c>
      <c r="E2524" s="8">
        <v>188</v>
      </c>
    </row>
    <row r="2525" s="3" customFormat="1" ht="18.75" spans="1:5">
      <c r="A2525" s="8" t="str">
        <f t="shared" si="44"/>
        <v>250013</v>
      </c>
      <c r="B2525" s="8" t="str">
        <f>"2561402013008"</f>
        <v>2561402013008</v>
      </c>
      <c r="C2525" s="8" t="s">
        <v>8</v>
      </c>
      <c r="D2525" s="9">
        <v>49.05</v>
      </c>
      <c r="E2525" s="8">
        <v>190</v>
      </c>
    </row>
    <row r="2526" s="3" customFormat="1" ht="18.75" spans="1:5">
      <c r="A2526" s="8" t="str">
        <f t="shared" si="44"/>
        <v>250013</v>
      </c>
      <c r="B2526" s="8" t="str">
        <f>"2561402012508"</f>
        <v>2561402012508</v>
      </c>
      <c r="C2526" s="8" t="s">
        <v>8</v>
      </c>
      <c r="D2526" s="9">
        <v>48.88</v>
      </c>
      <c r="E2526" s="8">
        <v>191</v>
      </c>
    </row>
    <row r="2527" s="3" customFormat="1" ht="18.75" spans="1:5">
      <c r="A2527" s="8" t="str">
        <f t="shared" si="44"/>
        <v>250013</v>
      </c>
      <c r="B2527" s="8" t="str">
        <f>"2561402013106"</f>
        <v>2561402013106</v>
      </c>
      <c r="C2527" s="8" t="s">
        <v>8</v>
      </c>
      <c r="D2527" s="9">
        <v>48.77</v>
      </c>
      <c r="E2527" s="8">
        <v>192</v>
      </c>
    </row>
    <row r="2528" s="3" customFormat="1" ht="18.75" spans="1:5">
      <c r="A2528" s="8" t="str">
        <f t="shared" ref="A2528:A2591" si="45">"250013"</f>
        <v>250013</v>
      </c>
      <c r="B2528" s="8" t="str">
        <f>"2561402013224"</f>
        <v>2561402013224</v>
      </c>
      <c r="C2528" s="8" t="s">
        <v>8</v>
      </c>
      <c r="D2528" s="9">
        <v>48.65</v>
      </c>
      <c r="E2528" s="8">
        <v>193</v>
      </c>
    </row>
    <row r="2529" s="3" customFormat="1" ht="18.75" spans="1:5">
      <c r="A2529" s="8" t="str">
        <f t="shared" si="45"/>
        <v>250013</v>
      </c>
      <c r="B2529" s="8" t="str">
        <f>"2561402013001"</f>
        <v>2561402013001</v>
      </c>
      <c r="C2529" s="8" t="s">
        <v>8</v>
      </c>
      <c r="D2529" s="9">
        <v>48.54</v>
      </c>
      <c r="E2529" s="8">
        <v>194</v>
      </c>
    </row>
    <row r="2530" s="3" customFormat="1" ht="18.75" spans="1:5">
      <c r="A2530" s="8" t="str">
        <f t="shared" si="45"/>
        <v>250013</v>
      </c>
      <c r="B2530" s="8" t="str">
        <f>"2561402012608"</f>
        <v>2561402012608</v>
      </c>
      <c r="C2530" s="8" t="s">
        <v>8</v>
      </c>
      <c r="D2530" s="9">
        <v>48.39</v>
      </c>
      <c r="E2530" s="8">
        <v>195</v>
      </c>
    </row>
    <row r="2531" s="3" customFormat="1" ht="18.75" spans="1:5">
      <c r="A2531" s="8" t="str">
        <f t="shared" si="45"/>
        <v>250013</v>
      </c>
      <c r="B2531" s="8" t="str">
        <f>"2561402013011"</f>
        <v>2561402013011</v>
      </c>
      <c r="C2531" s="8" t="s">
        <v>8</v>
      </c>
      <c r="D2531" s="9">
        <v>48.32</v>
      </c>
      <c r="E2531" s="8">
        <v>196</v>
      </c>
    </row>
    <row r="2532" s="3" customFormat="1" ht="18.75" spans="1:5">
      <c r="A2532" s="8" t="str">
        <f t="shared" si="45"/>
        <v>250013</v>
      </c>
      <c r="B2532" s="8" t="str">
        <f>"2561402013520"</f>
        <v>2561402013520</v>
      </c>
      <c r="C2532" s="8" t="s">
        <v>8</v>
      </c>
      <c r="D2532" s="9">
        <v>47.99</v>
      </c>
      <c r="E2532" s="8">
        <v>197</v>
      </c>
    </row>
    <row r="2533" s="3" customFormat="1" ht="18.75" spans="1:5">
      <c r="A2533" s="8" t="str">
        <f t="shared" si="45"/>
        <v>250013</v>
      </c>
      <c r="B2533" s="8" t="str">
        <f>"2561402013809"</f>
        <v>2561402013809</v>
      </c>
      <c r="C2533" s="8" t="s">
        <v>8</v>
      </c>
      <c r="D2533" s="9">
        <v>47.65</v>
      </c>
      <c r="E2533" s="8">
        <v>198</v>
      </c>
    </row>
    <row r="2534" s="3" customFormat="1" ht="18.75" spans="1:5">
      <c r="A2534" s="8" t="str">
        <f t="shared" si="45"/>
        <v>250013</v>
      </c>
      <c r="B2534" s="8" t="str">
        <f>"2561402012828"</f>
        <v>2561402012828</v>
      </c>
      <c r="C2534" s="8" t="s">
        <v>8</v>
      </c>
      <c r="D2534" s="9">
        <v>47.63</v>
      </c>
      <c r="E2534" s="8">
        <v>199</v>
      </c>
    </row>
    <row r="2535" s="3" customFormat="1" ht="18.75" spans="1:5">
      <c r="A2535" s="8" t="str">
        <f t="shared" si="45"/>
        <v>250013</v>
      </c>
      <c r="B2535" s="8" t="str">
        <f>"2561402013002"</f>
        <v>2561402013002</v>
      </c>
      <c r="C2535" s="8" t="s">
        <v>8</v>
      </c>
      <c r="D2535" s="9">
        <v>47.61</v>
      </c>
      <c r="E2535" s="8">
        <v>200</v>
      </c>
    </row>
    <row r="2536" s="3" customFormat="1" ht="18.75" spans="1:5">
      <c r="A2536" s="8" t="str">
        <f t="shared" si="45"/>
        <v>250013</v>
      </c>
      <c r="B2536" s="8" t="str">
        <f>"2561402013517"</f>
        <v>2561402013517</v>
      </c>
      <c r="C2536" s="8" t="s">
        <v>8</v>
      </c>
      <c r="D2536" s="9">
        <v>47.41</v>
      </c>
      <c r="E2536" s="8">
        <v>201</v>
      </c>
    </row>
    <row r="2537" s="3" customFormat="1" ht="18.75" spans="1:5">
      <c r="A2537" s="8" t="str">
        <f t="shared" si="45"/>
        <v>250013</v>
      </c>
      <c r="B2537" s="8" t="str">
        <f>"2561402013101"</f>
        <v>2561402013101</v>
      </c>
      <c r="C2537" s="8" t="s">
        <v>8</v>
      </c>
      <c r="D2537" s="9">
        <v>47.34</v>
      </c>
      <c r="E2537" s="8">
        <v>202</v>
      </c>
    </row>
    <row r="2538" s="3" customFormat="1" ht="18.75" spans="1:5">
      <c r="A2538" s="8" t="str">
        <f t="shared" si="45"/>
        <v>250013</v>
      </c>
      <c r="B2538" s="8" t="str">
        <f>"2561402013430"</f>
        <v>2561402013430</v>
      </c>
      <c r="C2538" s="8" t="s">
        <v>8</v>
      </c>
      <c r="D2538" s="9">
        <v>47.28</v>
      </c>
      <c r="E2538" s="8">
        <v>203</v>
      </c>
    </row>
    <row r="2539" s="3" customFormat="1" ht="18.75" spans="1:5">
      <c r="A2539" s="8" t="str">
        <f t="shared" si="45"/>
        <v>250013</v>
      </c>
      <c r="B2539" s="8" t="str">
        <f>"2561402013716"</f>
        <v>2561402013716</v>
      </c>
      <c r="C2539" s="8" t="s">
        <v>8</v>
      </c>
      <c r="D2539" s="9">
        <v>47.17</v>
      </c>
      <c r="E2539" s="8">
        <v>204</v>
      </c>
    </row>
    <row r="2540" s="3" customFormat="1" ht="18.75" spans="1:5">
      <c r="A2540" s="8" t="str">
        <f t="shared" si="45"/>
        <v>250013</v>
      </c>
      <c r="B2540" s="8" t="str">
        <f>"2561402012716"</f>
        <v>2561402012716</v>
      </c>
      <c r="C2540" s="8" t="s">
        <v>8</v>
      </c>
      <c r="D2540" s="9">
        <v>47.11</v>
      </c>
      <c r="E2540" s="8">
        <v>205</v>
      </c>
    </row>
    <row r="2541" s="3" customFormat="1" ht="18.75" spans="1:5">
      <c r="A2541" s="8" t="str">
        <f t="shared" si="45"/>
        <v>250013</v>
      </c>
      <c r="B2541" s="8" t="str">
        <f>"2561402013114"</f>
        <v>2561402013114</v>
      </c>
      <c r="C2541" s="8" t="s">
        <v>8</v>
      </c>
      <c r="D2541" s="9">
        <v>46.65</v>
      </c>
      <c r="E2541" s="8">
        <v>206</v>
      </c>
    </row>
    <row r="2542" s="3" customFormat="1" ht="18.75" spans="1:5">
      <c r="A2542" s="8" t="str">
        <f t="shared" si="45"/>
        <v>250013</v>
      </c>
      <c r="B2542" s="8" t="str">
        <f>"2561402013707"</f>
        <v>2561402013707</v>
      </c>
      <c r="C2542" s="8" t="s">
        <v>8</v>
      </c>
      <c r="D2542" s="9">
        <v>46.53</v>
      </c>
      <c r="E2542" s="8">
        <v>207</v>
      </c>
    </row>
    <row r="2543" s="3" customFormat="1" ht="18.75" spans="1:5">
      <c r="A2543" s="8" t="str">
        <f t="shared" si="45"/>
        <v>250013</v>
      </c>
      <c r="B2543" s="8" t="str">
        <f>"2561402013529"</f>
        <v>2561402013529</v>
      </c>
      <c r="C2543" s="8" t="s">
        <v>8</v>
      </c>
      <c r="D2543" s="9">
        <v>46.28</v>
      </c>
      <c r="E2543" s="8">
        <v>208</v>
      </c>
    </row>
    <row r="2544" s="3" customFormat="1" ht="18.75" spans="1:5">
      <c r="A2544" s="8" t="str">
        <f t="shared" si="45"/>
        <v>250013</v>
      </c>
      <c r="B2544" s="8" t="str">
        <f>"2561402013628"</f>
        <v>2561402013628</v>
      </c>
      <c r="C2544" s="8" t="s">
        <v>8</v>
      </c>
      <c r="D2544" s="9">
        <v>46.09</v>
      </c>
      <c r="E2544" s="8">
        <v>209</v>
      </c>
    </row>
    <row r="2545" s="3" customFormat="1" ht="18.75" spans="1:5">
      <c r="A2545" s="8" t="str">
        <f t="shared" si="45"/>
        <v>250013</v>
      </c>
      <c r="B2545" s="8" t="str">
        <f>"2561402012709"</f>
        <v>2561402012709</v>
      </c>
      <c r="C2545" s="8" t="s">
        <v>8</v>
      </c>
      <c r="D2545" s="9">
        <v>45.84</v>
      </c>
      <c r="E2545" s="8">
        <v>210</v>
      </c>
    </row>
    <row r="2546" s="3" customFormat="1" ht="18.75" spans="1:5">
      <c r="A2546" s="8" t="str">
        <f t="shared" si="45"/>
        <v>250013</v>
      </c>
      <c r="B2546" s="8" t="str">
        <f>"2561402012702"</f>
        <v>2561402012702</v>
      </c>
      <c r="C2546" s="8" t="s">
        <v>8</v>
      </c>
      <c r="D2546" s="9">
        <v>45.49</v>
      </c>
      <c r="E2546" s="8">
        <v>211</v>
      </c>
    </row>
    <row r="2547" s="3" customFormat="1" ht="18.75" spans="1:5">
      <c r="A2547" s="8" t="str">
        <f t="shared" si="45"/>
        <v>250013</v>
      </c>
      <c r="B2547" s="8" t="str">
        <f>"2561402012928"</f>
        <v>2561402012928</v>
      </c>
      <c r="C2547" s="8" t="s">
        <v>8</v>
      </c>
      <c r="D2547" s="9">
        <v>45.48</v>
      </c>
      <c r="E2547" s="8">
        <v>212</v>
      </c>
    </row>
    <row r="2548" s="3" customFormat="1" ht="18.75" spans="1:5">
      <c r="A2548" s="8" t="str">
        <f t="shared" si="45"/>
        <v>250013</v>
      </c>
      <c r="B2548" s="8" t="str">
        <f>"2561402012519"</f>
        <v>2561402012519</v>
      </c>
      <c r="C2548" s="8" t="s">
        <v>8</v>
      </c>
      <c r="D2548" s="9">
        <v>45.15</v>
      </c>
      <c r="E2548" s="8">
        <v>213</v>
      </c>
    </row>
    <row r="2549" s="3" customFormat="1" ht="18.75" spans="1:5">
      <c r="A2549" s="8" t="str">
        <f t="shared" si="45"/>
        <v>250013</v>
      </c>
      <c r="B2549" s="8" t="str">
        <f>"2561402012517"</f>
        <v>2561402012517</v>
      </c>
      <c r="C2549" s="8" t="s">
        <v>8</v>
      </c>
      <c r="D2549" s="9">
        <v>45.1</v>
      </c>
      <c r="E2549" s="8">
        <v>214</v>
      </c>
    </row>
    <row r="2550" s="3" customFormat="1" ht="18.75" spans="1:5">
      <c r="A2550" s="8" t="str">
        <f t="shared" si="45"/>
        <v>250013</v>
      </c>
      <c r="B2550" s="8" t="str">
        <f>"2561402013420"</f>
        <v>2561402013420</v>
      </c>
      <c r="C2550" s="8" t="s">
        <v>8</v>
      </c>
      <c r="D2550" s="9">
        <v>44.81</v>
      </c>
      <c r="E2550" s="8">
        <v>215</v>
      </c>
    </row>
    <row r="2551" s="3" customFormat="1" ht="18.75" spans="1:5">
      <c r="A2551" s="8" t="str">
        <f t="shared" si="45"/>
        <v>250013</v>
      </c>
      <c r="B2551" s="8" t="str">
        <f>"2561402013728"</f>
        <v>2561402013728</v>
      </c>
      <c r="C2551" s="8" t="s">
        <v>8</v>
      </c>
      <c r="D2551" s="9">
        <v>43.59</v>
      </c>
      <c r="E2551" s="8">
        <v>216</v>
      </c>
    </row>
    <row r="2552" s="3" customFormat="1" ht="18.75" spans="1:5">
      <c r="A2552" s="8" t="str">
        <f t="shared" si="45"/>
        <v>250013</v>
      </c>
      <c r="B2552" s="8" t="str">
        <f>"2561402013519"</f>
        <v>2561402013519</v>
      </c>
      <c r="C2552" s="8" t="s">
        <v>8</v>
      </c>
      <c r="D2552" s="9">
        <v>43.49</v>
      </c>
      <c r="E2552" s="8">
        <v>217</v>
      </c>
    </row>
    <row r="2553" s="3" customFormat="1" ht="18.75" spans="1:5">
      <c r="A2553" s="8" t="str">
        <f t="shared" si="45"/>
        <v>250013</v>
      </c>
      <c r="B2553" s="8" t="str">
        <f>"2561402012602"</f>
        <v>2561402012602</v>
      </c>
      <c r="C2553" s="8" t="s">
        <v>8</v>
      </c>
      <c r="D2553" s="9">
        <v>43.44</v>
      </c>
      <c r="E2553" s="8">
        <v>218</v>
      </c>
    </row>
    <row r="2554" s="3" customFormat="1" ht="18.75" spans="1:5">
      <c r="A2554" s="8" t="str">
        <f t="shared" si="45"/>
        <v>250013</v>
      </c>
      <c r="B2554" s="8" t="str">
        <f>"2561402013804"</f>
        <v>2561402013804</v>
      </c>
      <c r="C2554" s="8" t="s">
        <v>8</v>
      </c>
      <c r="D2554" s="9">
        <v>42.64</v>
      </c>
      <c r="E2554" s="8">
        <v>219</v>
      </c>
    </row>
    <row r="2555" s="3" customFormat="1" ht="18.75" spans="1:5">
      <c r="A2555" s="8" t="str">
        <f t="shared" si="45"/>
        <v>250013</v>
      </c>
      <c r="B2555" s="8" t="str">
        <f>"2561402013615"</f>
        <v>2561402013615</v>
      </c>
      <c r="C2555" s="8" t="s">
        <v>8</v>
      </c>
      <c r="D2555" s="9">
        <v>42.62</v>
      </c>
      <c r="E2555" s="8">
        <v>220</v>
      </c>
    </row>
    <row r="2556" s="3" customFormat="1" ht="18.75" spans="1:5">
      <c r="A2556" s="8" t="str">
        <f t="shared" si="45"/>
        <v>250013</v>
      </c>
      <c r="B2556" s="8" t="str">
        <f>"2561402012607"</f>
        <v>2561402012607</v>
      </c>
      <c r="C2556" s="8" t="s">
        <v>8</v>
      </c>
      <c r="D2556" s="9">
        <v>42.52</v>
      </c>
      <c r="E2556" s="8">
        <v>221</v>
      </c>
    </row>
    <row r="2557" s="3" customFormat="1" ht="18.75" spans="1:5">
      <c r="A2557" s="8" t="str">
        <f t="shared" si="45"/>
        <v>250013</v>
      </c>
      <c r="B2557" s="8" t="str">
        <f>"2561402013213"</f>
        <v>2561402013213</v>
      </c>
      <c r="C2557" s="8" t="s">
        <v>8</v>
      </c>
      <c r="D2557" s="9">
        <v>42.34</v>
      </c>
      <c r="E2557" s="8">
        <v>222</v>
      </c>
    </row>
    <row r="2558" s="3" customFormat="1" ht="18.75" spans="1:5">
      <c r="A2558" s="8" t="str">
        <f t="shared" si="45"/>
        <v>250013</v>
      </c>
      <c r="B2558" s="8" t="str">
        <f>"2561402013816"</f>
        <v>2561402013816</v>
      </c>
      <c r="C2558" s="8" t="s">
        <v>8</v>
      </c>
      <c r="D2558" s="9">
        <v>42.18</v>
      </c>
      <c r="E2558" s="8">
        <v>223</v>
      </c>
    </row>
    <row r="2559" s="3" customFormat="1" ht="18.75" spans="1:5">
      <c r="A2559" s="8" t="str">
        <f t="shared" si="45"/>
        <v>250013</v>
      </c>
      <c r="B2559" s="8" t="str">
        <f>"2561402013605"</f>
        <v>2561402013605</v>
      </c>
      <c r="C2559" s="8" t="s">
        <v>8</v>
      </c>
      <c r="D2559" s="9">
        <v>42.02</v>
      </c>
      <c r="E2559" s="8">
        <v>224</v>
      </c>
    </row>
    <row r="2560" s="3" customFormat="1" ht="18.75" spans="1:5">
      <c r="A2560" s="8" t="str">
        <f t="shared" si="45"/>
        <v>250013</v>
      </c>
      <c r="B2560" s="8" t="str">
        <f>"2561402013126"</f>
        <v>2561402013126</v>
      </c>
      <c r="C2560" s="8" t="s">
        <v>8</v>
      </c>
      <c r="D2560" s="9">
        <v>41.2</v>
      </c>
      <c r="E2560" s="8">
        <v>225</v>
      </c>
    </row>
    <row r="2561" s="3" customFormat="1" ht="18.75" spans="1:5">
      <c r="A2561" s="8" t="str">
        <f t="shared" si="45"/>
        <v>250013</v>
      </c>
      <c r="B2561" s="8" t="str">
        <f>"2561402013118"</f>
        <v>2561402013118</v>
      </c>
      <c r="C2561" s="8" t="s">
        <v>8</v>
      </c>
      <c r="D2561" s="9">
        <v>40.02</v>
      </c>
      <c r="E2561" s="8">
        <v>226</v>
      </c>
    </row>
    <row r="2562" s="3" customFormat="1" ht="18.75" spans="1:5">
      <c r="A2562" s="8" t="str">
        <f t="shared" si="45"/>
        <v>250013</v>
      </c>
      <c r="B2562" s="8" t="str">
        <f>"2561402013807"</f>
        <v>2561402013807</v>
      </c>
      <c r="C2562" s="8" t="s">
        <v>8</v>
      </c>
      <c r="D2562" s="9">
        <v>39.75</v>
      </c>
      <c r="E2562" s="8">
        <v>227</v>
      </c>
    </row>
    <row r="2563" s="3" customFormat="1" ht="18.75" spans="1:5">
      <c r="A2563" s="8" t="str">
        <f t="shared" si="45"/>
        <v>250013</v>
      </c>
      <c r="B2563" s="8" t="str">
        <f>"2561402012627"</f>
        <v>2561402012627</v>
      </c>
      <c r="C2563" s="8" t="s">
        <v>8</v>
      </c>
      <c r="D2563" s="9">
        <v>39.02</v>
      </c>
      <c r="E2563" s="8">
        <v>228</v>
      </c>
    </row>
    <row r="2564" s="3" customFormat="1" ht="18.75" spans="1:5">
      <c r="A2564" s="8" t="str">
        <f t="shared" si="45"/>
        <v>250013</v>
      </c>
      <c r="B2564" s="8" t="str">
        <f>"2561402012707"</f>
        <v>2561402012707</v>
      </c>
      <c r="C2564" s="8" t="s">
        <v>8</v>
      </c>
      <c r="D2564" s="9">
        <v>38.62</v>
      </c>
      <c r="E2564" s="8">
        <v>229</v>
      </c>
    </row>
    <row r="2565" s="3" customFormat="1" ht="18.75" spans="1:5">
      <c r="A2565" s="8" t="str">
        <f t="shared" si="45"/>
        <v>250013</v>
      </c>
      <c r="B2565" s="8" t="str">
        <f>"2561402012913"</f>
        <v>2561402012913</v>
      </c>
      <c r="C2565" s="8" t="s">
        <v>8</v>
      </c>
      <c r="D2565" s="9">
        <v>37.14</v>
      </c>
      <c r="E2565" s="8">
        <v>230</v>
      </c>
    </row>
    <row r="2566" s="3" customFormat="1" ht="18.75" spans="1:5">
      <c r="A2566" s="8" t="str">
        <f t="shared" si="45"/>
        <v>250013</v>
      </c>
      <c r="B2566" s="8" t="str">
        <f>"2561402012711"</f>
        <v>2561402012711</v>
      </c>
      <c r="C2566" s="8" t="s">
        <v>8</v>
      </c>
      <c r="D2566" s="9">
        <v>36.43</v>
      </c>
      <c r="E2566" s="8">
        <v>231</v>
      </c>
    </row>
    <row r="2567" s="3" customFormat="1" ht="18.75" spans="1:5">
      <c r="A2567" s="8" t="str">
        <f t="shared" si="45"/>
        <v>250013</v>
      </c>
      <c r="B2567" s="8" t="str">
        <f>"2561402013319"</f>
        <v>2561402013319</v>
      </c>
      <c r="C2567" s="8" t="s">
        <v>8</v>
      </c>
      <c r="D2567" s="9">
        <v>35.14</v>
      </c>
      <c r="E2567" s="8">
        <v>232</v>
      </c>
    </row>
    <row r="2568" s="3" customFormat="1" ht="18.75" spans="1:5">
      <c r="A2568" s="8" t="str">
        <f t="shared" si="45"/>
        <v>250013</v>
      </c>
      <c r="B2568" s="8" t="str">
        <f>"2561402013418"</f>
        <v>2561402013418</v>
      </c>
      <c r="C2568" s="8" t="s">
        <v>8</v>
      </c>
      <c r="D2568" s="9">
        <v>35</v>
      </c>
      <c r="E2568" s="8">
        <v>233</v>
      </c>
    </row>
    <row r="2569" s="3" customFormat="1" ht="18.75" spans="1:5">
      <c r="A2569" s="8" t="str">
        <f t="shared" si="45"/>
        <v>250013</v>
      </c>
      <c r="B2569" s="8" t="str">
        <f>"2561402012703"</f>
        <v>2561402012703</v>
      </c>
      <c r="C2569" s="8" t="s">
        <v>8</v>
      </c>
      <c r="D2569" s="9">
        <v>32.3</v>
      </c>
      <c r="E2569" s="8">
        <v>234</v>
      </c>
    </row>
    <row r="2570" s="3" customFormat="1" ht="18.75" spans="1:5">
      <c r="A2570" s="8" t="str">
        <f t="shared" si="45"/>
        <v>250013</v>
      </c>
      <c r="B2570" s="8" t="str">
        <f>"2561402012921"</f>
        <v>2561402012921</v>
      </c>
      <c r="C2570" s="8" t="s">
        <v>8</v>
      </c>
      <c r="D2570" s="9">
        <v>32.15</v>
      </c>
      <c r="E2570" s="8">
        <v>235</v>
      </c>
    </row>
    <row r="2571" s="3" customFormat="1" ht="18.75" spans="1:5">
      <c r="A2571" s="8" t="str">
        <f t="shared" si="45"/>
        <v>250013</v>
      </c>
      <c r="B2571" s="8" t="str">
        <f>"2561402012918"</f>
        <v>2561402012918</v>
      </c>
      <c r="C2571" s="8" t="s">
        <v>8</v>
      </c>
      <c r="D2571" s="9">
        <v>30.59</v>
      </c>
      <c r="E2571" s="8">
        <v>236</v>
      </c>
    </row>
    <row r="2572" s="3" customFormat="1" ht="18.75" spans="1:5">
      <c r="A2572" s="8" t="str">
        <f t="shared" si="45"/>
        <v>250013</v>
      </c>
      <c r="B2572" s="8" t="str">
        <f>"2561402012613"</f>
        <v>2561402012613</v>
      </c>
      <c r="C2572" s="8" t="s">
        <v>8</v>
      </c>
      <c r="D2572" s="9">
        <v>30.22</v>
      </c>
      <c r="E2572" s="8">
        <v>237</v>
      </c>
    </row>
    <row r="2573" s="3" customFormat="1" ht="18.75" spans="1:5">
      <c r="A2573" s="8" t="str">
        <f t="shared" si="45"/>
        <v>250013</v>
      </c>
      <c r="B2573" s="8" t="str">
        <f>"2561402012610"</f>
        <v>2561402012610</v>
      </c>
      <c r="C2573" s="8" t="s">
        <v>8</v>
      </c>
      <c r="D2573" s="9">
        <v>26.18</v>
      </c>
      <c r="E2573" s="8">
        <v>238</v>
      </c>
    </row>
    <row r="2574" s="3" customFormat="1" ht="18.75" spans="1:5">
      <c r="A2574" s="8" t="str">
        <f t="shared" si="45"/>
        <v>250013</v>
      </c>
      <c r="B2574" s="8" t="str">
        <f>"2561402013219"</f>
        <v>2561402013219</v>
      </c>
      <c r="C2574" s="8" t="s">
        <v>8</v>
      </c>
      <c r="D2574" s="9">
        <v>19.88</v>
      </c>
      <c r="E2574" s="8">
        <v>239</v>
      </c>
    </row>
    <row r="2575" s="3" customFormat="1" ht="18.75" spans="1:5">
      <c r="A2575" s="8" t="str">
        <f t="shared" si="45"/>
        <v>250013</v>
      </c>
      <c r="B2575" s="8" t="str">
        <f>"2561402013723"</f>
        <v>2561402013723</v>
      </c>
      <c r="C2575" s="8" t="s">
        <v>8</v>
      </c>
      <c r="D2575" s="9">
        <v>17.24</v>
      </c>
      <c r="E2575" s="8">
        <v>240</v>
      </c>
    </row>
    <row r="2576" s="3" customFormat="1" ht="18.75" spans="1:5">
      <c r="A2576" s="8" t="str">
        <f t="shared" si="45"/>
        <v>250013</v>
      </c>
      <c r="B2576" s="8" t="str">
        <f>"2561402013208"</f>
        <v>2561402013208</v>
      </c>
      <c r="C2576" s="8" t="s">
        <v>8</v>
      </c>
      <c r="D2576" s="9">
        <v>15.52</v>
      </c>
      <c r="E2576" s="8">
        <v>241</v>
      </c>
    </row>
    <row r="2577" s="3" customFormat="1" ht="18.75" spans="1:5">
      <c r="A2577" s="8" t="str">
        <f t="shared" si="45"/>
        <v>250013</v>
      </c>
      <c r="B2577" s="8" t="str">
        <f>"2561402012430"</f>
        <v>2561402012430</v>
      </c>
      <c r="C2577" s="8" t="s">
        <v>8</v>
      </c>
      <c r="D2577" s="9">
        <v>0</v>
      </c>
      <c r="E2577" s="8">
        <v>242</v>
      </c>
    </row>
    <row r="2578" s="3" customFormat="1" ht="18.75" spans="1:5">
      <c r="A2578" s="8" t="str">
        <f t="shared" si="45"/>
        <v>250013</v>
      </c>
      <c r="B2578" s="8" t="str">
        <f>"2561402012501"</f>
        <v>2561402012501</v>
      </c>
      <c r="C2578" s="8" t="s">
        <v>8</v>
      </c>
      <c r="D2578" s="9">
        <v>0</v>
      </c>
      <c r="E2578" s="8">
        <v>242</v>
      </c>
    </row>
    <row r="2579" s="3" customFormat="1" ht="18.75" spans="1:5">
      <c r="A2579" s="8" t="str">
        <f t="shared" si="45"/>
        <v>250013</v>
      </c>
      <c r="B2579" s="8" t="str">
        <f>"2561402012504"</f>
        <v>2561402012504</v>
      </c>
      <c r="C2579" s="8" t="s">
        <v>8</v>
      </c>
      <c r="D2579" s="9">
        <v>0</v>
      </c>
      <c r="E2579" s="8">
        <v>242</v>
      </c>
    </row>
    <row r="2580" s="3" customFormat="1" ht="18.75" spans="1:5">
      <c r="A2580" s="8" t="str">
        <f t="shared" si="45"/>
        <v>250013</v>
      </c>
      <c r="B2580" s="8" t="str">
        <f>"2561402012505"</f>
        <v>2561402012505</v>
      </c>
      <c r="C2580" s="8" t="s">
        <v>8</v>
      </c>
      <c r="D2580" s="9">
        <v>0</v>
      </c>
      <c r="E2580" s="8">
        <v>242</v>
      </c>
    </row>
    <row r="2581" s="3" customFormat="1" ht="18.75" spans="1:5">
      <c r="A2581" s="8" t="str">
        <f t="shared" si="45"/>
        <v>250013</v>
      </c>
      <c r="B2581" s="8" t="str">
        <f>"2561402012507"</f>
        <v>2561402012507</v>
      </c>
      <c r="C2581" s="8" t="s">
        <v>8</v>
      </c>
      <c r="D2581" s="9">
        <v>0</v>
      </c>
      <c r="E2581" s="8">
        <v>242</v>
      </c>
    </row>
    <row r="2582" s="3" customFormat="1" ht="18.75" spans="1:5">
      <c r="A2582" s="8" t="str">
        <f t="shared" si="45"/>
        <v>250013</v>
      </c>
      <c r="B2582" s="8" t="str">
        <f>"2561402012510"</f>
        <v>2561402012510</v>
      </c>
      <c r="C2582" s="8" t="s">
        <v>8</v>
      </c>
      <c r="D2582" s="9">
        <v>0</v>
      </c>
      <c r="E2582" s="8">
        <v>242</v>
      </c>
    </row>
    <row r="2583" s="3" customFormat="1" ht="18.75" spans="1:5">
      <c r="A2583" s="8" t="str">
        <f t="shared" si="45"/>
        <v>250013</v>
      </c>
      <c r="B2583" s="8" t="str">
        <f>"2561402012515"</f>
        <v>2561402012515</v>
      </c>
      <c r="C2583" s="8" t="s">
        <v>8</v>
      </c>
      <c r="D2583" s="9">
        <v>0</v>
      </c>
      <c r="E2583" s="8">
        <v>242</v>
      </c>
    </row>
    <row r="2584" s="3" customFormat="1" ht="18.75" spans="1:5">
      <c r="A2584" s="8" t="str">
        <f t="shared" si="45"/>
        <v>250013</v>
      </c>
      <c r="B2584" s="8" t="str">
        <f>"2561402012516"</f>
        <v>2561402012516</v>
      </c>
      <c r="C2584" s="8" t="s">
        <v>8</v>
      </c>
      <c r="D2584" s="9">
        <v>0</v>
      </c>
      <c r="E2584" s="8">
        <v>242</v>
      </c>
    </row>
    <row r="2585" s="3" customFormat="1" ht="18.75" spans="1:5">
      <c r="A2585" s="8" t="str">
        <f t="shared" si="45"/>
        <v>250013</v>
      </c>
      <c r="B2585" s="8" t="str">
        <f>"2561402012520"</f>
        <v>2561402012520</v>
      </c>
      <c r="C2585" s="8" t="s">
        <v>8</v>
      </c>
      <c r="D2585" s="9">
        <v>0</v>
      </c>
      <c r="E2585" s="8">
        <v>242</v>
      </c>
    </row>
    <row r="2586" s="3" customFormat="1" ht="18.75" spans="1:5">
      <c r="A2586" s="8" t="str">
        <f t="shared" si="45"/>
        <v>250013</v>
      </c>
      <c r="B2586" s="8" t="str">
        <f>"2561402012522"</f>
        <v>2561402012522</v>
      </c>
      <c r="C2586" s="8" t="s">
        <v>8</v>
      </c>
      <c r="D2586" s="9">
        <v>0</v>
      </c>
      <c r="E2586" s="8">
        <v>242</v>
      </c>
    </row>
    <row r="2587" s="3" customFormat="1" ht="18.75" spans="1:5">
      <c r="A2587" s="8" t="str">
        <f t="shared" si="45"/>
        <v>250013</v>
      </c>
      <c r="B2587" s="8" t="str">
        <f>"2561402012524"</f>
        <v>2561402012524</v>
      </c>
      <c r="C2587" s="8" t="s">
        <v>8</v>
      </c>
      <c r="D2587" s="9">
        <v>0</v>
      </c>
      <c r="E2587" s="8">
        <v>242</v>
      </c>
    </row>
    <row r="2588" s="3" customFormat="1" ht="18.75" spans="1:5">
      <c r="A2588" s="8" t="str">
        <f t="shared" si="45"/>
        <v>250013</v>
      </c>
      <c r="B2588" s="8" t="str">
        <f>"2561402012526"</f>
        <v>2561402012526</v>
      </c>
      <c r="C2588" s="8" t="s">
        <v>8</v>
      </c>
      <c r="D2588" s="9">
        <v>0</v>
      </c>
      <c r="E2588" s="8">
        <v>242</v>
      </c>
    </row>
    <row r="2589" s="3" customFormat="1" ht="18.75" spans="1:5">
      <c r="A2589" s="8" t="str">
        <f t="shared" si="45"/>
        <v>250013</v>
      </c>
      <c r="B2589" s="8" t="str">
        <f>"2561402012528"</f>
        <v>2561402012528</v>
      </c>
      <c r="C2589" s="8" t="s">
        <v>8</v>
      </c>
      <c r="D2589" s="9">
        <v>0</v>
      </c>
      <c r="E2589" s="8">
        <v>242</v>
      </c>
    </row>
    <row r="2590" s="3" customFormat="1" ht="18.75" spans="1:5">
      <c r="A2590" s="8" t="str">
        <f t="shared" si="45"/>
        <v>250013</v>
      </c>
      <c r="B2590" s="8" t="str">
        <f>"2561402012529"</f>
        <v>2561402012529</v>
      </c>
      <c r="C2590" s="8" t="s">
        <v>8</v>
      </c>
      <c r="D2590" s="9">
        <v>0</v>
      </c>
      <c r="E2590" s="8">
        <v>242</v>
      </c>
    </row>
    <row r="2591" s="3" customFormat="1" ht="18.75" spans="1:5">
      <c r="A2591" s="8" t="str">
        <f t="shared" si="45"/>
        <v>250013</v>
      </c>
      <c r="B2591" s="8" t="str">
        <f>"2561402012530"</f>
        <v>2561402012530</v>
      </c>
      <c r="C2591" s="8" t="s">
        <v>8</v>
      </c>
      <c r="D2591" s="9">
        <v>0</v>
      </c>
      <c r="E2591" s="8">
        <v>242</v>
      </c>
    </row>
    <row r="2592" s="3" customFormat="1" ht="18.75" spans="1:5">
      <c r="A2592" s="8" t="str">
        <f t="shared" ref="A2592:A2655" si="46">"250013"</f>
        <v>250013</v>
      </c>
      <c r="B2592" s="8" t="str">
        <f>"2561402012604"</f>
        <v>2561402012604</v>
      </c>
      <c r="C2592" s="8" t="s">
        <v>8</v>
      </c>
      <c r="D2592" s="9">
        <v>0</v>
      </c>
      <c r="E2592" s="8">
        <v>242</v>
      </c>
    </row>
    <row r="2593" s="3" customFormat="1" ht="18.75" spans="1:5">
      <c r="A2593" s="8" t="str">
        <f t="shared" si="46"/>
        <v>250013</v>
      </c>
      <c r="B2593" s="8" t="str">
        <f>"2561402012606"</f>
        <v>2561402012606</v>
      </c>
      <c r="C2593" s="8" t="s">
        <v>8</v>
      </c>
      <c r="D2593" s="9">
        <v>0</v>
      </c>
      <c r="E2593" s="8">
        <v>242</v>
      </c>
    </row>
    <row r="2594" s="3" customFormat="1" ht="18.75" spans="1:5">
      <c r="A2594" s="8" t="str">
        <f t="shared" si="46"/>
        <v>250013</v>
      </c>
      <c r="B2594" s="8" t="str">
        <f>"2561402012609"</f>
        <v>2561402012609</v>
      </c>
      <c r="C2594" s="8" t="s">
        <v>8</v>
      </c>
      <c r="D2594" s="9">
        <v>0</v>
      </c>
      <c r="E2594" s="8">
        <v>242</v>
      </c>
    </row>
    <row r="2595" s="3" customFormat="1" ht="18.75" spans="1:5">
      <c r="A2595" s="8" t="str">
        <f t="shared" si="46"/>
        <v>250013</v>
      </c>
      <c r="B2595" s="8" t="str">
        <f>"2561402012612"</f>
        <v>2561402012612</v>
      </c>
      <c r="C2595" s="8" t="s">
        <v>8</v>
      </c>
      <c r="D2595" s="9">
        <v>0</v>
      </c>
      <c r="E2595" s="8">
        <v>242</v>
      </c>
    </row>
    <row r="2596" s="3" customFormat="1" ht="18.75" spans="1:5">
      <c r="A2596" s="8" t="str">
        <f t="shared" si="46"/>
        <v>250013</v>
      </c>
      <c r="B2596" s="8" t="str">
        <f>"2561402012615"</f>
        <v>2561402012615</v>
      </c>
      <c r="C2596" s="8" t="s">
        <v>8</v>
      </c>
      <c r="D2596" s="9">
        <v>0</v>
      </c>
      <c r="E2596" s="8">
        <v>242</v>
      </c>
    </row>
    <row r="2597" s="3" customFormat="1" ht="18.75" spans="1:5">
      <c r="A2597" s="8" t="str">
        <f t="shared" si="46"/>
        <v>250013</v>
      </c>
      <c r="B2597" s="8" t="str">
        <f>"2561402012617"</f>
        <v>2561402012617</v>
      </c>
      <c r="C2597" s="8" t="s">
        <v>8</v>
      </c>
      <c r="D2597" s="9">
        <v>0</v>
      </c>
      <c r="E2597" s="8">
        <v>242</v>
      </c>
    </row>
    <row r="2598" s="3" customFormat="1" ht="18.75" spans="1:5">
      <c r="A2598" s="8" t="str">
        <f t="shared" si="46"/>
        <v>250013</v>
      </c>
      <c r="B2598" s="8" t="str">
        <f>"2561402012620"</f>
        <v>2561402012620</v>
      </c>
      <c r="C2598" s="8" t="s">
        <v>8</v>
      </c>
      <c r="D2598" s="9">
        <v>0</v>
      </c>
      <c r="E2598" s="8">
        <v>242</v>
      </c>
    </row>
    <row r="2599" s="3" customFormat="1" ht="18.75" spans="1:5">
      <c r="A2599" s="8" t="str">
        <f t="shared" si="46"/>
        <v>250013</v>
      </c>
      <c r="B2599" s="8" t="str">
        <f>"2561402012622"</f>
        <v>2561402012622</v>
      </c>
      <c r="C2599" s="8" t="s">
        <v>8</v>
      </c>
      <c r="D2599" s="9">
        <v>0</v>
      </c>
      <c r="E2599" s="8">
        <v>242</v>
      </c>
    </row>
    <row r="2600" s="3" customFormat="1" ht="18.75" spans="1:5">
      <c r="A2600" s="8" t="str">
        <f t="shared" si="46"/>
        <v>250013</v>
      </c>
      <c r="B2600" s="8" t="str">
        <f>"2561402012623"</f>
        <v>2561402012623</v>
      </c>
      <c r="C2600" s="8" t="s">
        <v>8</v>
      </c>
      <c r="D2600" s="9">
        <v>0</v>
      </c>
      <c r="E2600" s="8">
        <v>242</v>
      </c>
    </row>
    <row r="2601" s="3" customFormat="1" ht="18.75" spans="1:5">
      <c r="A2601" s="8" t="str">
        <f t="shared" si="46"/>
        <v>250013</v>
      </c>
      <c r="B2601" s="8" t="str">
        <f>"2561402012625"</f>
        <v>2561402012625</v>
      </c>
      <c r="C2601" s="8" t="s">
        <v>8</v>
      </c>
      <c r="D2601" s="9">
        <v>0</v>
      </c>
      <c r="E2601" s="8">
        <v>242</v>
      </c>
    </row>
    <row r="2602" s="3" customFormat="1" ht="18.75" spans="1:5">
      <c r="A2602" s="8" t="str">
        <f t="shared" si="46"/>
        <v>250013</v>
      </c>
      <c r="B2602" s="8" t="str">
        <f>"2561402012626"</f>
        <v>2561402012626</v>
      </c>
      <c r="C2602" s="8" t="s">
        <v>8</v>
      </c>
      <c r="D2602" s="9">
        <v>0</v>
      </c>
      <c r="E2602" s="8">
        <v>242</v>
      </c>
    </row>
    <row r="2603" s="3" customFormat="1" ht="18.75" spans="1:5">
      <c r="A2603" s="8" t="str">
        <f t="shared" si="46"/>
        <v>250013</v>
      </c>
      <c r="B2603" s="8" t="str">
        <f>"2561402012628"</f>
        <v>2561402012628</v>
      </c>
      <c r="C2603" s="8" t="s">
        <v>8</v>
      </c>
      <c r="D2603" s="9">
        <v>0</v>
      </c>
      <c r="E2603" s="8">
        <v>242</v>
      </c>
    </row>
    <row r="2604" s="3" customFormat="1" ht="18.75" spans="1:5">
      <c r="A2604" s="8" t="str">
        <f t="shared" si="46"/>
        <v>250013</v>
      </c>
      <c r="B2604" s="8" t="str">
        <f>"2561402012630"</f>
        <v>2561402012630</v>
      </c>
      <c r="C2604" s="8" t="s">
        <v>8</v>
      </c>
      <c r="D2604" s="9">
        <v>0</v>
      </c>
      <c r="E2604" s="8">
        <v>242</v>
      </c>
    </row>
    <row r="2605" s="3" customFormat="1" ht="18.75" spans="1:5">
      <c r="A2605" s="8" t="str">
        <f t="shared" si="46"/>
        <v>250013</v>
      </c>
      <c r="B2605" s="8" t="str">
        <f>"2561402012705"</f>
        <v>2561402012705</v>
      </c>
      <c r="C2605" s="8" t="s">
        <v>8</v>
      </c>
      <c r="D2605" s="9">
        <v>0</v>
      </c>
      <c r="E2605" s="8">
        <v>242</v>
      </c>
    </row>
    <row r="2606" s="3" customFormat="1" ht="18.75" spans="1:5">
      <c r="A2606" s="8" t="str">
        <f t="shared" si="46"/>
        <v>250013</v>
      </c>
      <c r="B2606" s="8" t="str">
        <f>"2561402012708"</f>
        <v>2561402012708</v>
      </c>
      <c r="C2606" s="8" t="s">
        <v>8</v>
      </c>
      <c r="D2606" s="9">
        <v>0</v>
      </c>
      <c r="E2606" s="8">
        <v>242</v>
      </c>
    </row>
    <row r="2607" s="3" customFormat="1" ht="18.75" spans="1:5">
      <c r="A2607" s="8" t="str">
        <f t="shared" si="46"/>
        <v>250013</v>
      </c>
      <c r="B2607" s="8" t="str">
        <f>"2561402012710"</f>
        <v>2561402012710</v>
      </c>
      <c r="C2607" s="8" t="s">
        <v>8</v>
      </c>
      <c r="D2607" s="9">
        <v>0</v>
      </c>
      <c r="E2607" s="8">
        <v>242</v>
      </c>
    </row>
    <row r="2608" s="3" customFormat="1" ht="18.75" spans="1:5">
      <c r="A2608" s="8" t="str">
        <f t="shared" si="46"/>
        <v>250013</v>
      </c>
      <c r="B2608" s="8" t="str">
        <f>"2561402012713"</f>
        <v>2561402012713</v>
      </c>
      <c r="C2608" s="8" t="s">
        <v>8</v>
      </c>
      <c r="D2608" s="9">
        <v>0</v>
      </c>
      <c r="E2608" s="8">
        <v>242</v>
      </c>
    </row>
    <row r="2609" s="3" customFormat="1" ht="18.75" spans="1:5">
      <c r="A2609" s="8" t="str">
        <f t="shared" si="46"/>
        <v>250013</v>
      </c>
      <c r="B2609" s="8" t="str">
        <f>"2561402012715"</f>
        <v>2561402012715</v>
      </c>
      <c r="C2609" s="8" t="s">
        <v>8</v>
      </c>
      <c r="D2609" s="9">
        <v>0</v>
      </c>
      <c r="E2609" s="8">
        <v>242</v>
      </c>
    </row>
    <row r="2610" s="3" customFormat="1" ht="18.75" spans="1:5">
      <c r="A2610" s="8" t="str">
        <f t="shared" si="46"/>
        <v>250013</v>
      </c>
      <c r="B2610" s="8" t="str">
        <f>"2561402012717"</f>
        <v>2561402012717</v>
      </c>
      <c r="C2610" s="8" t="s">
        <v>8</v>
      </c>
      <c r="D2610" s="9">
        <v>0</v>
      </c>
      <c r="E2610" s="8">
        <v>242</v>
      </c>
    </row>
    <row r="2611" s="3" customFormat="1" ht="18.75" spans="1:5">
      <c r="A2611" s="8" t="str">
        <f t="shared" si="46"/>
        <v>250013</v>
      </c>
      <c r="B2611" s="8" t="str">
        <f>"2561402012720"</f>
        <v>2561402012720</v>
      </c>
      <c r="C2611" s="8" t="s">
        <v>8</v>
      </c>
      <c r="D2611" s="9">
        <v>0</v>
      </c>
      <c r="E2611" s="8">
        <v>242</v>
      </c>
    </row>
    <row r="2612" s="3" customFormat="1" ht="18.75" spans="1:5">
      <c r="A2612" s="8" t="str">
        <f t="shared" si="46"/>
        <v>250013</v>
      </c>
      <c r="B2612" s="8" t="str">
        <f>"2561402012721"</f>
        <v>2561402012721</v>
      </c>
      <c r="C2612" s="8" t="s">
        <v>8</v>
      </c>
      <c r="D2612" s="9">
        <v>0</v>
      </c>
      <c r="E2612" s="8">
        <v>242</v>
      </c>
    </row>
    <row r="2613" s="3" customFormat="1" ht="18.75" spans="1:5">
      <c r="A2613" s="8" t="str">
        <f t="shared" si="46"/>
        <v>250013</v>
      </c>
      <c r="B2613" s="8" t="str">
        <f>"2561402012722"</f>
        <v>2561402012722</v>
      </c>
      <c r="C2613" s="8" t="s">
        <v>8</v>
      </c>
      <c r="D2613" s="9">
        <v>0</v>
      </c>
      <c r="E2613" s="8">
        <v>242</v>
      </c>
    </row>
    <row r="2614" s="3" customFormat="1" ht="18.75" spans="1:5">
      <c r="A2614" s="8" t="str">
        <f t="shared" si="46"/>
        <v>250013</v>
      </c>
      <c r="B2614" s="8" t="str">
        <f>"2561402012723"</f>
        <v>2561402012723</v>
      </c>
      <c r="C2614" s="8" t="s">
        <v>8</v>
      </c>
      <c r="D2614" s="9">
        <v>0</v>
      </c>
      <c r="E2614" s="8">
        <v>242</v>
      </c>
    </row>
    <row r="2615" s="3" customFormat="1" ht="18.75" spans="1:5">
      <c r="A2615" s="8" t="str">
        <f t="shared" si="46"/>
        <v>250013</v>
      </c>
      <c r="B2615" s="8" t="str">
        <f>"2561402012725"</f>
        <v>2561402012725</v>
      </c>
      <c r="C2615" s="8" t="s">
        <v>8</v>
      </c>
      <c r="D2615" s="9">
        <v>0</v>
      </c>
      <c r="E2615" s="8">
        <v>242</v>
      </c>
    </row>
    <row r="2616" s="3" customFormat="1" ht="18.75" spans="1:5">
      <c r="A2616" s="8" t="str">
        <f t="shared" si="46"/>
        <v>250013</v>
      </c>
      <c r="B2616" s="8" t="str">
        <f>"2561402012728"</f>
        <v>2561402012728</v>
      </c>
      <c r="C2616" s="8" t="s">
        <v>8</v>
      </c>
      <c r="D2616" s="9">
        <v>0</v>
      </c>
      <c r="E2616" s="8">
        <v>242</v>
      </c>
    </row>
    <row r="2617" s="3" customFormat="1" ht="18.75" spans="1:5">
      <c r="A2617" s="8" t="str">
        <f t="shared" si="46"/>
        <v>250013</v>
      </c>
      <c r="B2617" s="8" t="str">
        <f>"2561402012729"</f>
        <v>2561402012729</v>
      </c>
      <c r="C2617" s="8" t="s">
        <v>8</v>
      </c>
      <c r="D2617" s="9">
        <v>0</v>
      </c>
      <c r="E2617" s="8">
        <v>242</v>
      </c>
    </row>
    <row r="2618" s="3" customFormat="1" ht="18.75" spans="1:5">
      <c r="A2618" s="8" t="str">
        <f t="shared" si="46"/>
        <v>250013</v>
      </c>
      <c r="B2618" s="8" t="str">
        <f>"2561402012804"</f>
        <v>2561402012804</v>
      </c>
      <c r="C2618" s="8" t="s">
        <v>8</v>
      </c>
      <c r="D2618" s="9">
        <v>0</v>
      </c>
      <c r="E2618" s="8">
        <v>242</v>
      </c>
    </row>
    <row r="2619" s="3" customFormat="1" ht="18.75" spans="1:5">
      <c r="A2619" s="8" t="str">
        <f t="shared" si="46"/>
        <v>250013</v>
      </c>
      <c r="B2619" s="8" t="str">
        <f>"2561402012805"</f>
        <v>2561402012805</v>
      </c>
      <c r="C2619" s="8" t="s">
        <v>8</v>
      </c>
      <c r="D2619" s="9">
        <v>0</v>
      </c>
      <c r="E2619" s="8">
        <v>242</v>
      </c>
    </row>
    <row r="2620" s="3" customFormat="1" ht="18.75" spans="1:5">
      <c r="A2620" s="8" t="str">
        <f t="shared" si="46"/>
        <v>250013</v>
      </c>
      <c r="B2620" s="8" t="str">
        <f>"2561402012806"</f>
        <v>2561402012806</v>
      </c>
      <c r="C2620" s="8" t="s">
        <v>8</v>
      </c>
      <c r="D2620" s="9">
        <v>0</v>
      </c>
      <c r="E2620" s="8">
        <v>242</v>
      </c>
    </row>
    <row r="2621" s="3" customFormat="1" ht="18.75" spans="1:5">
      <c r="A2621" s="8" t="str">
        <f t="shared" si="46"/>
        <v>250013</v>
      </c>
      <c r="B2621" s="8" t="str">
        <f>"2561402012807"</f>
        <v>2561402012807</v>
      </c>
      <c r="C2621" s="8" t="s">
        <v>8</v>
      </c>
      <c r="D2621" s="9">
        <v>0</v>
      </c>
      <c r="E2621" s="8">
        <v>242</v>
      </c>
    </row>
    <row r="2622" s="3" customFormat="1" ht="18.75" spans="1:5">
      <c r="A2622" s="8" t="str">
        <f t="shared" si="46"/>
        <v>250013</v>
      </c>
      <c r="B2622" s="8" t="str">
        <f>"2561402012809"</f>
        <v>2561402012809</v>
      </c>
      <c r="C2622" s="8" t="s">
        <v>8</v>
      </c>
      <c r="D2622" s="9">
        <v>0</v>
      </c>
      <c r="E2622" s="8">
        <v>242</v>
      </c>
    </row>
    <row r="2623" s="3" customFormat="1" ht="18.75" spans="1:5">
      <c r="A2623" s="8" t="str">
        <f t="shared" si="46"/>
        <v>250013</v>
      </c>
      <c r="B2623" s="8" t="str">
        <f>"2561402012815"</f>
        <v>2561402012815</v>
      </c>
      <c r="C2623" s="8" t="s">
        <v>8</v>
      </c>
      <c r="D2623" s="9">
        <v>0</v>
      </c>
      <c r="E2623" s="8">
        <v>242</v>
      </c>
    </row>
    <row r="2624" s="3" customFormat="1" ht="18.75" spans="1:5">
      <c r="A2624" s="8" t="str">
        <f t="shared" si="46"/>
        <v>250013</v>
      </c>
      <c r="B2624" s="8" t="str">
        <f>"2561402012816"</f>
        <v>2561402012816</v>
      </c>
      <c r="C2624" s="8" t="s">
        <v>8</v>
      </c>
      <c r="D2624" s="9">
        <v>0</v>
      </c>
      <c r="E2624" s="8">
        <v>242</v>
      </c>
    </row>
    <row r="2625" s="3" customFormat="1" ht="18.75" spans="1:5">
      <c r="A2625" s="8" t="str">
        <f t="shared" si="46"/>
        <v>250013</v>
      </c>
      <c r="B2625" s="8" t="str">
        <f>"2561402012817"</f>
        <v>2561402012817</v>
      </c>
      <c r="C2625" s="8" t="s">
        <v>8</v>
      </c>
      <c r="D2625" s="9">
        <v>0</v>
      </c>
      <c r="E2625" s="8">
        <v>242</v>
      </c>
    </row>
    <row r="2626" s="3" customFormat="1" ht="18.75" spans="1:5">
      <c r="A2626" s="8" t="str">
        <f t="shared" si="46"/>
        <v>250013</v>
      </c>
      <c r="B2626" s="8" t="str">
        <f>"2561402012820"</f>
        <v>2561402012820</v>
      </c>
      <c r="C2626" s="8" t="s">
        <v>8</v>
      </c>
      <c r="D2626" s="9">
        <v>0</v>
      </c>
      <c r="E2626" s="8">
        <v>242</v>
      </c>
    </row>
    <row r="2627" s="3" customFormat="1" ht="18.75" spans="1:5">
      <c r="A2627" s="8" t="str">
        <f t="shared" si="46"/>
        <v>250013</v>
      </c>
      <c r="B2627" s="8" t="str">
        <f>"2561402012823"</f>
        <v>2561402012823</v>
      </c>
      <c r="C2627" s="8" t="s">
        <v>8</v>
      </c>
      <c r="D2627" s="9">
        <v>0</v>
      </c>
      <c r="E2627" s="8">
        <v>242</v>
      </c>
    </row>
    <row r="2628" s="3" customFormat="1" ht="18.75" spans="1:5">
      <c r="A2628" s="8" t="str">
        <f t="shared" si="46"/>
        <v>250013</v>
      </c>
      <c r="B2628" s="8" t="str">
        <f>"2561402012825"</f>
        <v>2561402012825</v>
      </c>
      <c r="C2628" s="8" t="s">
        <v>8</v>
      </c>
      <c r="D2628" s="9">
        <v>0</v>
      </c>
      <c r="E2628" s="8">
        <v>242</v>
      </c>
    </row>
    <row r="2629" s="3" customFormat="1" ht="18.75" spans="1:5">
      <c r="A2629" s="8" t="str">
        <f t="shared" si="46"/>
        <v>250013</v>
      </c>
      <c r="B2629" s="8" t="str">
        <f>"2561402012826"</f>
        <v>2561402012826</v>
      </c>
      <c r="C2629" s="8" t="s">
        <v>8</v>
      </c>
      <c r="D2629" s="9">
        <v>0</v>
      </c>
      <c r="E2629" s="8">
        <v>242</v>
      </c>
    </row>
    <row r="2630" s="3" customFormat="1" ht="18.75" spans="1:5">
      <c r="A2630" s="8" t="str">
        <f t="shared" si="46"/>
        <v>250013</v>
      </c>
      <c r="B2630" s="8" t="str">
        <f>"2561402012827"</f>
        <v>2561402012827</v>
      </c>
      <c r="C2630" s="8" t="s">
        <v>8</v>
      </c>
      <c r="D2630" s="9">
        <v>0</v>
      </c>
      <c r="E2630" s="8">
        <v>242</v>
      </c>
    </row>
    <row r="2631" s="3" customFormat="1" ht="18.75" spans="1:5">
      <c r="A2631" s="8" t="str">
        <f t="shared" si="46"/>
        <v>250013</v>
      </c>
      <c r="B2631" s="8" t="str">
        <f>"2561402012901"</f>
        <v>2561402012901</v>
      </c>
      <c r="C2631" s="8" t="s">
        <v>8</v>
      </c>
      <c r="D2631" s="9">
        <v>0</v>
      </c>
      <c r="E2631" s="8">
        <v>242</v>
      </c>
    </row>
    <row r="2632" s="3" customFormat="1" ht="18.75" spans="1:5">
      <c r="A2632" s="8" t="str">
        <f t="shared" si="46"/>
        <v>250013</v>
      </c>
      <c r="B2632" s="8" t="str">
        <f>"2561402012903"</f>
        <v>2561402012903</v>
      </c>
      <c r="C2632" s="8" t="s">
        <v>8</v>
      </c>
      <c r="D2632" s="9">
        <v>0</v>
      </c>
      <c r="E2632" s="8">
        <v>242</v>
      </c>
    </row>
    <row r="2633" s="3" customFormat="1" ht="18.75" spans="1:5">
      <c r="A2633" s="8" t="str">
        <f t="shared" si="46"/>
        <v>250013</v>
      </c>
      <c r="B2633" s="8" t="str">
        <f>"2561402012905"</f>
        <v>2561402012905</v>
      </c>
      <c r="C2633" s="8" t="s">
        <v>8</v>
      </c>
      <c r="D2633" s="9">
        <v>0</v>
      </c>
      <c r="E2633" s="8">
        <v>242</v>
      </c>
    </row>
    <row r="2634" s="3" customFormat="1" ht="18.75" spans="1:5">
      <c r="A2634" s="8" t="str">
        <f t="shared" si="46"/>
        <v>250013</v>
      </c>
      <c r="B2634" s="8" t="str">
        <f>"2561402012907"</f>
        <v>2561402012907</v>
      </c>
      <c r="C2634" s="8" t="s">
        <v>8</v>
      </c>
      <c r="D2634" s="9">
        <v>0</v>
      </c>
      <c r="E2634" s="8">
        <v>242</v>
      </c>
    </row>
    <row r="2635" s="3" customFormat="1" ht="18.75" spans="1:5">
      <c r="A2635" s="8" t="str">
        <f t="shared" si="46"/>
        <v>250013</v>
      </c>
      <c r="B2635" s="8" t="str">
        <f>"2561402012910"</f>
        <v>2561402012910</v>
      </c>
      <c r="C2635" s="8" t="s">
        <v>8</v>
      </c>
      <c r="D2635" s="9">
        <v>0</v>
      </c>
      <c r="E2635" s="8">
        <v>242</v>
      </c>
    </row>
    <row r="2636" s="3" customFormat="1" ht="18.75" spans="1:5">
      <c r="A2636" s="8" t="str">
        <f t="shared" si="46"/>
        <v>250013</v>
      </c>
      <c r="B2636" s="8" t="str">
        <f>"2561402012911"</f>
        <v>2561402012911</v>
      </c>
      <c r="C2636" s="8" t="s">
        <v>8</v>
      </c>
      <c r="D2636" s="9">
        <v>0</v>
      </c>
      <c r="E2636" s="8">
        <v>242</v>
      </c>
    </row>
    <row r="2637" s="3" customFormat="1" ht="18.75" spans="1:5">
      <c r="A2637" s="8" t="str">
        <f t="shared" si="46"/>
        <v>250013</v>
      </c>
      <c r="B2637" s="8" t="str">
        <f>"2561402012916"</f>
        <v>2561402012916</v>
      </c>
      <c r="C2637" s="8" t="s">
        <v>8</v>
      </c>
      <c r="D2637" s="9">
        <v>0</v>
      </c>
      <c r="E2637" s="8">
        <v>242</v>
      </c>
    </row>
    <row r="2638" s="3" customFormat="1" ht="18.75" spans="1:5">
      <c r="A2638" s="8" t="str">
        <f t="shared" si="46"/>
        <v>250013</v>
      </c>
      <c r="B2638" s="8" t="str">
        <f>"2561402012923"</f>
        <v>2561402012923</v>
      </c>
      <c r="C2638" s="8" t="s">
        <v>8</v>
      </c>
      <c r="D2638" s="9">
        <v>0</v>
      </c>
      <c r="E2638" s="8">
        <v>242</v>
      </c>
    </row>
    <row r="2639" s="3" customFormat="1" ht="18.75" spans="1:5">
      <c r="A2639" s="8" t="str">
        <f t="shared" si="46"/>
        <v>250013</v>
      </c>
      <c r="B2639" s="8" t="str">
        <f>"2561402012925"</f>
        <v>2561402012925</v>
      </c>
      <c r="C2639" s="8" t="s">
        <v>8</v>
      </c>
      <c r="D2639" s="9">
        <v>0</v>
      </c>
      <c r="E2639" s="8">
        <v>242</v>
      </c>
    </row>
    <row r="2640" s="3" customFormat="1" ht="18.75" spans="1:5">
      <c r="A2640" s="8" t="str">
        <f t="shared" si="46"/>
        <v>250013</v>
      </c>
      <c r="B2640" s="8" t="str">
        <f>"2561402012926"</f>
        <v>2561402012926</v>
      </c>
      <c r="C2640" s="8" t="s">
        <v>8</v>
      </c>
      <c r="D2640" s="9">
        <v>0</v>
      </c>
      <c r="E2640" s="8">
        <v>242</v>
      </c>
    </row>
    <row r="2641" s="3" customFormat="1" ht="18.75" spans="1:5">
      <c r="A2641" s="8" t="str">
        <f t="shared" si="46"/>
        <v>250013</v>
      </c>
      <c r="B2641" s="8" t="str">
        <f>"2561402012929"</f>
        <v>2561402012929</v>
      </c>
      <c r="C2641" s="8" t="s">
        <v>8</v>
      </c>
      <c r="D2641" s="9">
        <v>0</v>
      </c>
      <c r="E2641" s="8">
        <v>242</v>
      </c>
    </row>
    <row r="2642" s="3" customFormat="1" ht="18.75" spans="1:5">
      <c r="A2642" s="8" t="str">
        <f t="shared" si="46"/>
        <v>250013</v>
      </c>
      <c r="B2642" s="8" t="str">
        <f>"2561402012930"</f>
        <v>2561402012930</v>
      </c>
      <c r="C2642" s="8" t="s">
        <v>8</v>
      </c>
      <c r="D2642" s="9">
        <v>0</v>
      </c>
      <c r="E2642" s="8">
        <v>242</v>
      </c>
    </row>
    <row r="2643" s="3" customFormat="1" ht="18.75" spans="1:5">
      <c r="A2643" s="8" t="str">
        <f t="shared" si="46"/>
        <v>250013</v>
      </c>
      <c r="B2643" s="8" t="str">
        <f>"2561402013004"</f>
        <v>2561402013004</v>
      </c>
      <c r="C2643" s="8" t="s">
        <v>8</v>
      </c>
      <c r="D2643" s="9">
        <v>0</v>
      </c>
      <c r="E2643" s="8">
        <v>242</v>
      </c>
    </row>
    <row r="2644" s="3" customFormat="1" ht="18.75" spans="1:5">
      <c r="A2644" s="8" t="str">
        <f t="shared" si="46"/>
        <v>250013</v>
      </c>
      <c r="B2644" s="8" t="str">
        <f>"2561402013006"</f>
        <v>2561402013006</v>
      </c>
      <c r="C2644" s="8" t="s">
        <v>8</v>
      </c>
      <c r="D2644" s="9">
        <v>0</v>
      </c>
      <c r="E2644" s="8">
        <v>242</v>
      </c>
    </row>
    <row r="2645" s="3" customFormat="1" ht="18.75" spans="1:5">
      <c r="A2645" s="8" t="str">
        <f t="shared" si="46"/>
        <v>250013</v>
      </c>
      <c r="B2645" s="8" t="str">
        <f>"2561402013009"</f>
        <v>2561402013009</v>
      </c>
      <c r="C2645" s="8" t="s">
        <v>8</v>
      </c>
      <c r="D2645" s="9">
        <v>0</v>
      </c>
      <c r="E2645" s="8">
        <v>242</v>
      </c>
    </row>
    <row r="2646" s="3" customFormat="1" ht="18.75" spans="1:5">
      <c r="A2646" s="8" t="str">
        <f t="shared" si="46"/>
        <v>250013</v>
      </c>
      <c r="B2646" s="8" t="str">
        <f>"2561402013010"</f>
        <v>2561402013010</v>
      </c>
      <c r="C2646" s="8" t="s">
        <v>8</v>
      </c>
      <c r="D2646" s="9">
        <v>0</v>
      </c>
      <c r="E2646" s="8">
        <v>242</v>
      </c>
    </row>
    <row r="2647" s="3" customFormat="1" ht="18.75" spans="1:5">
      <c r="A2647" s="8" t="str">
        <f t="shared" si="46"/>
        <v>250013</v>
      </c>
      <c r="B2647" s="8" t="str">
        <f>"2561402013012"</f>
        <v>2561402013012</v>
      </c>
      <c r="C2647" s="8" t="s">
        <v>8</v>
      </c>
      <c r="D2647" s="9">
        <v>0</v>
      </c>
      <c r="E2647" s="8">
        <v>242</v>
      </c>
    </row>
    <row r="2648" s="3" customFormat="1" ht="18.75" spans="1:5">
      <c r="A2648" s="8" t="str">
        <f t="shared" si="46"/>
        <v>250013</v>
      </c>
      <c r="B2648" s="8" t="str">
        <f>"2561402013015"</f>
        <v>2561402013015</v>
      </c>
      <c r="C2648" s="8" t="s">
        <v>8</v>
      </c>
      <c r="D2648" s="9">
        <v>0</v>
      </c>
      <c r="E2648" s="8">
        <v>242</v>
      </c>
    </row>
    <row r="2649" s="3" customFormat="1" ht="18.75" spans="1:5">
      <c r="A2649" s="8" t="str">
        <f t="shared" si="46"/>
        <v>250013</v>
      </c>
      <c r="B2649" s="8" t="str">
        <f>"2561402013016"</f>
        <v>2561402013016</v>
      </c>
      <c r="C2649" s="8" t="s">
        <v>8</v>
      </c>
      <c r="D2649" s="9">
        <v>0</v>
      </c>
      <c r="E2649" s="8">
        <v>242</v>
      </c>
    </row>
    <row r="2650" s="3" customFormat="1" ht="18.75" spans="1:5">
      <c r="A2650" s="8" t="str">
        <f t="shared" si="46"/>
        <v>250013</v>
      </c>
      <c r="B2650" s="8" t="str">
        <f>"2561402013017"</f>
        <v>2561402013017</v>
      </c>
      <c r="C2650" s="8" t="s">
        <v>8</v>
      </c>
      <c r="D2650" s="9">
        <v>0</v>
      </c>
      <c r="E2650" s="8">
        <v>242</v>
      </c>
    </row>
    <row r="2651" s="3" customFormat="1" ht="18.75" spans="1:5">
      <c r="A2651" s="8" t="str">
        <f t="shared" si="46"/>
        <v>250013</v>
      </c>
      <c r="B2651" s="8" t="str">
        <f>"2561402013018"</f>
        <v>2561402013018</v>
      </c>
      <c r="C2651" s="8" t="s">
        <v>8</v>
      </c>
      <c r="D2651" s="9">
        <v>0</v>
      </c>
      <c r="E2651" s="8">
        <v>242</v>
      </c>
    </row>
    <row r="2652" s="3" customFormat="1" ht="18.75" spans="1:5">
      <c r="A2652" s="8" t="str">
        <f t="shared" si="46"/>
        <v>250013</v>
      </c>
      <c r="B2652" s="8" t="str">
        <f>"2561402013022"</f>
        <v>2561402013022</v>
      </c>
      <c r="C2652" s="8" t="s">
        <v>8</v>
      </c>
      <c r="D2652" s="9">
        <v>0</v>
      </c>
      <c r="E2652" s="8">
        <v>242</v>
      </c>
    </row>
    <row r="2653" s="3" customFormat="1" ht="18.75" spans="1:5">
      <c r="A2653" s="8" t="str">
        <f t="shared" si="46"/>
        <v>250013</v>
      </c>
      <c r="B2653" s="8" t="str">
        <f>"2561402013024"</f>
        <v>2561402013024</v>
      </c>
      <c r="C2653" s="8" t="s">
        <v>8</v>
      </c>
      <c r="D2653" s="9">
        <v>0</v>
      </c>
      <c r="E2653" s="8">
        <v>242</v>
      </c>
    </row>
    <row r="2654" s="3" customFormat="1" ht="18.75" spans="1:5">
      <c r="A2654" s="8" t="str">
        <f t="shared" si="46"/>
        <v>250013</v>
      </c>
      <c r="B2654" s="8" t="str">
        <f>"2561402013027"</f>
        <v>2561402013027</v>
      </c>
      <c r="C2654" s="8" t="s">
        <v>8</v>
      </c>
      <c r="D2654" s="9">
        <v>0</v>
      </c>
      <c r="E2654" s="8">
        <v>242</v>
      </c>
    </row>
    <row r="2655" s="3" customFormat="1" ht="18.75" spans="1:5">
      <c r="A2655" s="8" t="str">
        <f t="shared" si="46"/>
        <v>250013</v>
      </c>
      <c r="B2655" s="8" t="str">
        <f>"2561402013029"</f>
        <v>2561402013029</v>
      </c>
      <c r="C2655" s="8" t="s">
        <v>8</v>
      </c>
      <c r="D2655" s="9">
        <v>0</v>
      </c>
      <c r="E2655" s="8">
        <v>242</v>
      </c>
    </row>
    <row r="2656" s="3" customFormat="1" ht="18.75" spans="1:5">
      <c r="A2656" s="8" t="str">
        <f t="shared" ref="A2656:A2719" si="47">"250013"</f>
        <v>250013</v>
      </c>
      <c r="B2656" s="8" t="str">
        <f>"2561402013030"</f>
        <v>2561402013030</v>
      </c>
      <c r="C2656" s="8" t="s">
        <v>8</v>
      </c>
      <c r="D2656" s="9">
        <v>0</v>
      </c>
      <c r="E2656" s="8">
        <v>242</v>
      </c>
    </row>
    <row r="2657" s="3" customFormat="1" ht="18.75" spans="1:5">
      <c r="A2657" s="8" t="str">
        <f t="shared" si="47"/>
        <v>250013</v>
      </c>
      <c r="B2657" s="8" t="str">
        <f>"2561402013102"</f>
        <v>2561402013102</v>
      </c>
      <c r="C2657" s="8" t="s">
        <v>8</v>
      </c>
      <c r="D2657" s="9">
        <v>0</v>
      </c>
      <c r="E2657" s="8">
        <v>242</v>
      </c>
    </row>
    <row r="2658" s="3" customFormat="1" ht="18.75" spans="1:5">
      <c r="A2658" s="8" t="str">
        <f t="shared" si="47"/>
        <v>250013</v>
      </c>
      <c r="B2658" s="8" t="str">
        <f>"2561402013103"</f>
        <v>2561402013103</v>
      </c>
      <c r="C2658" s="8" t="s">
        <v>8</v>
      </c>
      <c r="D2658" s="9">
        <v>0</v>
      </c>
      <c r="E2658" s="8">
        <v>242</v>
      </c>
    </row>
    <row r="2659" s="3" customFormat="1" ht="18.75" spans="1:5">
      <c r="A2659" s="8" t="str">
        <f t="shared" si="47"/>
        <v>250013</v>
      </c>
      <c r="B2659" s="8" t="str">
        <f>"2561402013104"</f>
        <v>2561402013104</v>
      </c>
      <c r="C2659" s="8" t="s">
        <v>8</v>
      </c>
      <c r="D2659" s="9">
        <v>0</v>
      </c>
      <c r="E2659" s="8">
        <v>242</v>
      </c>
    </row>
    <row r="2660" s="3" customFormat="1" ht="18.75" spans="1:5">
      <c r="A2660" s="8" t="str">
        <f t="shared" si="47"/>
        <v>250013</v>
      </c>
      <c r="B2660" s="8" t="str">
        <f>"2561402013107"</f>
        <v>2561402013107</v>
      </c>
      <c r="C2660" s="8" t="s">
        <v>8</v>
      </c>
      <c r="D2660" s="9">
        <v>0</v>
      </c>
      <c r="E2660" s="8">
        <v>242</v>
      </c>
    </row>
    <row r="2661" s="3" customFormat="1" ht="18.75" spans="1:5">
      <c r="A2661" s="8" t="str">
        <f t="shared" si="47"/>
        <v>250013</v>
      </c>
      <c r="B2661" s="8" t="str">
        <f>"2561402013110"</f>
        <v>2561402013110</v>
      </c>
      <c r="C2661" s="8" t="s">
        <v>8</v>
      </c>
      <c r="D2661" s="9">
        <v>0</v>
      </c>
      <c r="E2661" s="8">
        <v>242</v>
      </c>
    </row>
    <row r="2662" s="3" customFormat="1" ht="18.75" spans="1:5">
      <c r="A2662" s="8" t="str">
        <f t="shared" si="47"/>
        <v>250013</v>
      </c>
      <c r="B2662" s="8" t="str">
        <f>"2561402013111"</f>
        <v>2561402013111</v>
      </c>
      <c r="C2662" s="8" t="s">
        <v>8</v>
      </c>
      <c r="D2662" s="9">
        <v>0</v>
      </c>
      <c r="E2662" s="8">
        <v>242</v>
      </c>
    </row>
    <row r="2663" s="3" customFormat="1" ht="18.75" spans="1:5">
      <c r="A2663" s="8" t="str">
        <f t="shared" si="47"/>
        <v>250013</v>
      </c>
      <c r="B2663" s="8" t="str">
        <f>"2561402013113"</f>
        <v>2561402013113</v>
      </c>
      <c r="C2663" s="8" t="s">
        <v>8</v>
      </c>
      <c r="D2663" s="9">
        <v>0</v>
      </c>
      <c r="E2663" s="8">
        <v>242</v>
      </c>
    </row>
    <row r="2664" s="3" customFormat="1" ht="18.75" spans="1:5">
      <c r="A2664" s="8" t="str">
        <f t="shared" si="47"/>
        <v>250013</v>
      </c>
      <c r="B2664" s="8" t="str">
        <f>"2561402013117"</f>
        <v>2561402013117</v>
      </c>
      <c r="C2664" s="8" t="s">
        <v>8</v>
      </c>
      <c r="D2664" s="9">
        <v>0</v>
      </c>
      <c r="E2664" s="8">
        <v>242</v>
      </c>
    </row>
    <row r="2665" s="3" customFormat="1" ht="18.75" spans="1:5">
      <c r="A2665" s="8" t="str">
        <f t="shared" si="47"/>
        <v>250013</v>
      </c>
      <c r="B2665" s="8" t="str">
        <f>"2561402013121"</f>
        <v>2561402013121</v>
      </c>
      <c r="C2665" s="8" t="s">
        <v>8</v>
      </c>
      <c r="D2665" s="9">
        <v>0</v>
      </c>
      <c r="E2665" s="8">
        <v>242</v>
      </c>
    </row>
    <row r="2666" s="3" customFormat="1" ht="18.75" spans="1:5">
      <c r="A2666" s="8" t="str">
        <f t="shared" si="47"/>
        <v>250013</v>
      </c>
      <c r="B2666" s="8" t="str">
        <f>"2561402013122"</f>
        <v>2561402013122</v>
      </c>
      <c r="C2666" s="8" t="s">
        <v>8</v>
      </c>
      <c r="D2666" s="9">
        <v>0</v>
      </c>
      <c r="E2666" s="8">
        <v>242</v>
      </c>
    </row>
    <row r="2667" s="3" customFormat="1" ht="18.75" spans="1:5">
      <c r="A2667" s="8" t="str">
        <f t="shared" si="47"/>
        <v>250013</v>
      </c>
      <c r="B2667" s="8" t="str">
        <f>"2561402013125"</f>
        <v>2561402013125</v>
      </c>
      <c r="C2667" s="8" t="s">
        <v>8</v>
      </c>
      <c r="D2667" s="9">
        <v>0</v>
      </c>
      <c r="E2667" s="8">
        <v>242</v>
      </c>
    </row>
    <row r="2668" s="3" customFormat="1" ht="18.75" spans="1:5">
      <c r="A2668" s="8" t="str">
        <f t="shared" si="47"/>
        <v>250013</v>
      </c>
      <c r="B2668" s="8" t="str">
        <f>"2561402013127"</f>
        <v>2561402013127</v>
      </c>
      <c r="C2668" s="8" t="s">
        <v>8</v>
      </c>
      <c r="D2668" s="9">
        <v>0</v>
      </c>
      <c r="E2668" s="8">
        <v>242</v>
      </c>
    </row>
    <row r="2669" s="3" customFormat="1" ht="18.75" spans="1:5">
      <c r="A2669" s="8" t="str">
        <f t="shared" si="47"/>
        <v>250013</v>
      </c>
      <c r="B2669" s="8" t="str">
        <f>"2561402013202"</f>
        <v>2561402013202</v>
      </c>
      <c r="C2669" s="8" t="s">
        <v>8</v>
      </c>
      <c r="D2669" s="9">
        <v>0</v>
      </c>
      <c r="E2669" s="8">
        <v>242</v>
      </c>
    </row>
    <row r="2670" s="3" customFormat="1" ht="18.75" spans="1:5">
      <c r="A2670" s="8" t="str">
        <f t="shared" si="47"/>
        <v>250013</v>
      </c>
      <c r="B2670" s="8" t="str">
        <f>"2561402013204"</f>
        <v>2561402013204</v>
      </c>
      <c r="C2670" s="8" t="s">
        <v>8</v>
      </c>
      <c r="D2670" s="9">
        <v>0</v>
      </c>
      <c r="E2670" s="8">
        <v>242</v>
      </c>
    </row>
    <row r="2671" s="3" customFormat="1" ht="18.75" spans="1:5">
      <c r="A2671" s="8" t="str">
        <f t="shared" si="47"/>
        <v>250013</v>
      </c>
      <c r="B2671" s="8" t="str">
        <f>"2561402013209"</f>
        <v>2561402013209</v>
      </c>
      <c r="C2671" s="8" t="s">
        <v>8</v>
      </c>
      <c r="D2671" s="9">
        <v>0</v>
      </c>
      <c r="E2671" s="8">
        <v>242</v>
      </c>
    </row>
    <row r="2672" s="3" customFormat="1" ht="18.75" spans="1:5">
      <c r="A2672" s="8" t="str">
        <f t="shared" si="47"/>
        <v>250013</v>
      </c>
      <c r="B2672" s="8" t="str">
        <f>"2561402013211"</f>
        <v>2561402013211</v>
      </c>
      <c r="C2672" s="8" t="s">
        <v>8</v>
      </c>
      <c r="D2672" s="9">
        <v>0</v>
      </c>
      <c r="E2672" s="8">
        <v>242</v>
      </c>
    </row>
    <row r="2673" s="3" customFormat="1" ht="18.75" spans="1:5">
      <c r="A2673" s="8" t="str">
        <f t="shared" si="47"/>
        <v>250013</v>
      </c>
      <c r="B2673" s="8" t="str">
        <f>"2561402013212"</f>
        <v>2561402013212</v>
      </c>
      <c r="C2673" s="8" t="s">
        <v>8</v>
      </c>
      <c r="D2673" s="9">
        <v>0</v>
      </c>
      <c r="E2673" s="8">
        <v>242</v>
      </c>
    </row>
    <row r="2674" s="3" customFormat="1" ht="18.75" spans="1:5">
      <c r="A2674" s="8" t="str">
        <f t="shared" si="47"/>
        <v>250013</v>
      </c>
      <c r="B2674" s="8" t="str">
        <f>"2561402013214"</f>
        <v>2561402013214</v>
      </c>
      <c r="C2674" s="8" t="s">
        <v>8</v>
      </c>
      <c r="D2674" s="9">
        <v>0</v>
      </c>
      <c r="E2674" s="8">
        <v>242</v>
      </c>
    </row>
    <row r="2675" s="3" customFormat="1" ht="18.75" spans="1:5">
      <c r="A2675" s="8" t="str">
        <f t="shared" si="47"/>
        <v>250013</v>
      </c>
      <c r="B2675" s="8" t="str">
        <f>"2561402013215"</f>
        <v>2561402013215</v>
      </c>
      <c r="C2675" s="8" t="s">
        <v>8</v>
      </c>
      <c r="D2675" s="9">
        <v>0</v>
      </c>
      <c r="E2675" s="8">
        <v>242</v>
      </c>
    </row>
    <row r="2676" s="3" customFormat="1" ht="18.75" spans="1:5">
      <c r="A2676" s="8" t="str">
        <f t="shared" si="47"/>
        <v>250013</v>
      </c>
      <c r="B2676" s="8" t="str">
        <f>"2561402013216"</f>
        <v>2561402013216</v>
      </c>
      <c r="C2676" s="8" t="s">
        <v>8</v>
      </c>
      <c r="D2676" s="9">
        <v>0</v>
      </c>
      <c r="E2676" s="8">
        <v>242</v>
      </c>
    </row>
    <row r="2677" s="3" customFormat="1" ht="18.75" spans="1:5">
      <c r="A2677" s="8" t="str">
        <f t="shared" si="47"/>
        <v>250013</v>
      </c>
      <c r="B2677" s="8" t="str">
        <f>"2561402013217"</f>
        <v>2561402013217</v>
      </c>
      <c r="C2677" s="8" t="s">
        <v>8</v>
      </c>
      <c r="D2677" s="9">
        <v>0</v>
      </c>
      <c r="E2677" s="8">
        <v>242</v>
      </c>
    </row>
    <row r="2678" s="3" customFormat="1" ht="18.75" spans="1:5">
      <c r="A2678" s="8" t="str">
        <f t="shared" si="47"/>
        <v>250013</v>
      </c>
      <c r="B2678" s="8" t="str">
        <f>"2561402013220"</f>
        <v>2561402013220</v>
      </c>
      <c r="C2678" s="8" t="s">
        <v>8</v>
      </c>
      <c r="D2678" s="9">
        <v>0</v>
      </c>
      <c r="E2678" s="8">
        <v>242</v>
      </c>
    </row>
    <row r="2679" s="3" customFormat="1" ht="18.75" spans="1:5">
      <c r="A2679" s="8" t="str">
        <f t="shared" si="47"/>
        <v>250013</v>
      </c>
      <c r="B2679" s="8" t="str">
        <f>"2561402013221"</f>
        <v>2561402013221</v>
      </c>
      <c r="C2679" s="8" t="s">
        <v>8</v>
      </c>
      <c r="D2679" s="9">
        <v>0</v>
      </c>
      <c r="E2679" s="8">
        <v>242</v>
      </c>
    </row>
    <row r="2680" s="3" customFormat="1" ht="18.75" spans="1:5">
      <c r="A2680" s="8" t="str">
        <f t="shared" si="47"/>
        <v>250013</v>
      </c>
      <c r="B2680" s="8" t="str">
        <f>"2561402013223"</f>
        <v>2561402013223</v>
      </c>
      <c r="C2680" s="8" t="s">
        <v>8</v>
      </c>
      <c r="D2680" s="9">
        <v>0</v>
      </c>
      <c r="E2680" s="8">
        <v>242</v>
      </c>
    </row>
    <row r="2681" s="3" customFormat="1" ht="18.75" spans="1:5">
      <c r="A2681" s="8" t="str">
        <f t="shared" si="47"/>
        <v>250013</v>
      </c>
      <c r="B2681" s="8" t="str">
        <f>"2561402013229"</f>
        <v>2561402013229</v>
      </c>
      <c r="C2681" s="8" t="s">
        <v>8</v>
      </c>
      <c r="D2681" s="9">
        <v>0</v>
      </c>
      <c r="E2681" s="8">
        <v>242</v>
      </c>
    </row>
    <row r="2682" s="3" customFormat="1" ht="18.75" spans="1:5">
      <c r="A2682" s="8" t="str">
        <f t="shared" si="47"/>
        <v>250013</v>
      </c>
      <c r="B2682" s="8" t="str">
        <f>"2561402013230"</f>
        <v>2561402013230</v>
      </c>
      <c r="C2682" s="8" t="s">
        <v>8</v>
      </c>
      <c r="D2682" s="9">
        <v>0</v>
      </c>
      <c r="E2682" s="8">
        <v>242</v>
      </c>
    </row>
    <row r="2683" s="3" customFormat="1" ht="18.75" spans="1:5">
      <c r="A2683" s="8" t="str">
        <f t="shared" si="47"/>
        <v>250013</v>
      </c>
      <c r="B2683" s="8" t="str">
        <f>"2561402013302"</f>
        <v>2561402013302</v>
      </c>
      <c r="C2683" s="8" t="s">
        <v>8</v>
      </c>
      <c r="D2683" s="9">
        <v>0</v>
      </c>
      <c r="E2683" s="8">
        <v>242</v>
      </c>
    </row>
    <row r="2684" s="3" customFormat="1" ht="18.75" spans="1:5">
      <c r="A2684" s="8" t="str">
        <f t="shared" si="47"/>
        <v>250013</v>
      </c>
      <c r="B2684" s="8" t="str">
        <f>"2561402013304"</f>
        <v>2561402013304</v>
      </c>
      <c r="C2684" s="8" t="s">
        <v>8</v>
      </c>
      <c r="D2684" s="9">
        <v>0</v>
      </c>
      <c r="E2684" s="8">
        <v>242</v>
      </c>
    </row>
    <row r="2685" s="3" customFormat="1" ht="18.75" spans="1:5">
      <c r="A2685" s="8" t="str">
        <f t="shared" si="47"/>
        <v>250013</v>
      </c>
      <c r="B2685" s="8" t="str">
        <f>"2561402013305"</f>
        <v>2561402013305</v>
      </c>
      <c r="C2685" s="8" t="s">
        <v>8</v>
      </c>
      <c r="D2685" s="9">
        <v>0</v>
      </c>
      <c r="E2685" s="8">
        <v>242</v>
      </c>
    </row>
    <row r="2686" s="3" customFormat="1" ht="18.75" spans="1:5">
      <c r="A2686" s="8" t="str">
        <f t="shared" si="47"/>
        <v>250013</v>
      </c>
      <c r="B2686" s="8" t="str">
        <f>"2561402013308"</f>
        <v>2561402013308</v>
      </c>
      <c r="C2686" s="8" t="s">
        <v>8</v>
      </c>
      <c r="D2686" s="9">
        <v>0</v>
      </c>
      <c r="E2686" s="8">
        <v>242</v>
      </c>
    </row>
    <row r="2687" s="3" customFormat="1" ht="18.75" spans="1:5">
      <c r="A2687" s="8" t="str">
        <f t="shared" si="47"/>
        <v>250013</v>
      </c>
      <c r="B2687" s="8" t="str">
        <f>"2561402013312"</f>
        <v>2561402013312</v>
      </c>
      <c r="C2687" s="8" t="s">
        <v>8</v>
      </c>
      <c r="D2687" s="9">
        <v>0</v>
      </c>
      <c r="E2687" s="8">
        <v>242</v>
      </c>
    </row>
    <row r="2688" s="3" customFormat="1" ht="18.75" spans="1:5">
      <c r="A2688" s="8" t="str">
        <f t="shared" si="47"/>
        <v>250013</v>
      </c>
      <c r="B2688" s="8" t="str">
        <f>"2561402013313"</f>
        <v>2561402013313</v>
      </c>
      <c r="C2688" s="8" t="s">
        <v>8</v>
      </c>
      <c r="D2688" s="9">
        <v>0</v>
      </c>
      <c r="E2688" s="8">
        <v>242</v>
      </c>
    </row>
    <row r="2689" s="3" customFormat="1" ht="18.75" spans="1:5">
      <c r="A2689" s="8" t="str">
        <f t="shared" si="47"/>
        <v>250013</v>
      </c>
      <c r="B2689" s="8" t="str">
        <f>"2561402013315"</f>
        <v>2561402013315</v>
      </c>
      <c r="C2689" s="8" t="s">
        <v>8</v>
      </c>
      <c r="D2689" s="9">
        <v>0</v>
      </c>
      <c r="E2689" s="8">
        <v>242</v>
      </c>
    </row>
    <row r="2690" s="3" customFormat="1" ht="18.75" spans="1:5">
      <c r="A2690" s="8" t="str">
        <f t="shared" si="47"/>
        <v>250013</v>
      </c>
      <c r="B2690" s="8" t="str">
        <f>"2561402013318"</f>
        <v>2561402013318</v>
      </c>
      <c r="C2690" s="8" t="s">
        <v>8</v>
      </c>
      <c r="D2690" s="9">
        <v>0</v>
      </c>
      <c r="E2690" s="8">
        <v>242</v>
      </c>
    </row>
    <row r="2691" s="3" customFormat="1" ht="18.75" spans="1:5">
      <c r="A2691" s="8" t="str">
        <f t="shared" si="47"/>
        <v>250013</v>
      </c>
      <c r="B2691" s="8" t="str">
        <f>"2561402013321"</f>
        <v>2561402013321</v>
      </c>
      <c r="C2691" s="8" t="s">
        <v>8</v>
      </c>
      <c r="D2691" s="9">
        <v>0</v>
      </c>
      <c r="E2691" s="8">
        <v>242</v>
      </c>
    </row>
    <row r="2692" s="3" customFormat="1" ht="18.75" spans="1:5">
      <c r="A2692" s="8" t="str">
        <f t="shared" si="47"/>
        <v>250013</v>
      </c>
      <c r="B2692" s="8" t="str">
        <f>"2561402013322"</f>
        <v>2561402013322</v>
      </c>
      <c r="C2692" s="8" t="s">
        <v>8</v>
      </c>
      <c r="D2692" s="9">
        <v>0</v>
      </c>
      <c r="E2692" s="8">
        <v>242</v>
      </c>
    </row>
    <row r="2693" s="3" customFormat="1" ht="18.75" spans="1:5">
      <c r="A2693" s="8" t="str">
        <f t="shared" si="47"/>
        <v>250013</v>
      </c>
      <c r="B2693" s="8" t="str">
        <f>"2561402013323"</f>
        <v>2561402013323</v>
      </c>
      <c r="C2693" s="8" t="s">
        <v>8</v>
      </c>
      <c r="D2693" s="9">
        <v>0</v>
      </c>
      <c r="E2693" s="8">
        <v>242</v>
      </c>
    </row>
    <row r="2694" s="3" customFormat="1" ht="18.75" spans="1:5">
      <c r="A2694" s="8" t="str">
        <f t="shared" si="47"/>
        <v>250013</v>
      </c>
      <c r="B2694" s="8" t="str">
        <f>"2561402013404"</f>
        <v>2561402013404</v>
      </c>
      <c r="C2694" s="8" t="s">
        <v>8</v>
      </c>
      <c r="D2694" s="9">
        <v>0</v>
      </c>
      <c r="E2694" s="8">
        <v>242</v>
      </c>
    </row>
    <row r="2695" s="3" customFormat="1" ht="18.75" spans="1:5">
      <c r="A2695" s="8" t="str">
        <f t="shared" si="47"/>
        <v>250013</v>
      </c>
      <c r="B2695" s="8" t="str">
        <f>"2561402013405"</f>
        <v>2561402013405</v>
      </c>
      <c r="C2695" s="8" t="s">
        <v>8</v>
      </c>
      <c r="D2695" s="9">
        <v>0</v>
      </c>
      <c r="E2695" s="8">
        <v>242</v>
      </c>
    </row>
    <row r="2696" s="3" customFormat="1" ht="18.75" spans="1:5">
      <c r="A2696" s="8" t="str">
        <f t="shared" si="47"/>
        <v>250013</v>
      </c>
      <c r="B2696" s="8" t="str">
        <f>"2561402013406"</f>
        <v>2561402013406</v>
      </c>
      <c r="C2696" s="8" t="s">
        <v>8</v>
      </c>
      <c r="D2696" s="9">
        <v>0</v>
      </c>
      <c r="E2696" s="8">
        <v>242</v>
      </c>
    </row>
    <row r="2697" s="3" customFormat="1" ht="18.75" spans="1:5">
      <c r="A2697" s="8" t="str">
        <f t="shared" si="47"/>
        <v>250013</v>
      </c>
      <c r="B2697" s="8" t="str">
        <f>"2561402013410"</f>
        <v>2561402013410</v>
      </c>
      <c r="C2697" s="8" t="s">
        <v>8</v>
      </c>
      <c r="D2697" s="9">
        <v>0</v>
      </c>
      <c r="E2697" s="8">
        <v>242</v>
      </c>
    </row>
    <row r="2698" s="3" customFormat="1" ht="18.75" spans="1:5">
      <c r="A2698" s="8" t="str">
        <f t="shared" si="47"/>
        <v>250013</v>
      </c>
      <c r="B2698" s="8" t="str">
        <f>"2561402013413"</f>
        <v>2561402013413</v>
      </c>
      <c r="C2698" s="8" t="s">
        <v>8</v>
      </c>
      <c r="D2698" s="9">
        <v>0</v>
      </c>
      <c r="E2698" s="8">
        <v>242</v>
      </c>
    </row>
    <row r="2699" s="3" customFormat="1" ht="18.75" spans="1:5">
      <c r="A2699" s="8" t="str">
        <f t="shared" si="47"/>
        <v>250013</v>
      </c>
      <c r="B2699" s="8" t="str">
        <f>"2561402013414"</f>
        <v>2561402013414</v>
      </c>
      <c r="C2699" s="8" t="s">
        <v>8</v>
      </c>
      <c r="D2699" s="9">
        <v>0</v>
      </c>
      <c r="E2699" s="8">
        <v>242</v>
      </c>
    </row>
    <row r="2700" s="3" customFormat="1" ht="18.75" spans="1:5">
      <c r="A2700" s="8" t="str">
        <f t="shared" si="47"/>
        <v>250013</v>
      </c>
      <c r="B2700" s="8" t="str">
        <f>"2561402013419"</f>
        <v>2561402013419</v>
      </c>
      <c r="C2700" s="8" t="s">
        <v>8</v>
      </c>
      <c r="D2700" s="9">
        <v>0</v>
      </c>
      <c r="E2700" s="8">
        <v>242</v>
      </c>
    </row>
    <row r="2701" s="3" customFormat="1" ht="18.75" spans="1:5">
      <c r="A2701" s="8" t="str">
        <f t="shared" si="47"/>
        <v>250013</v>
      </c>
      <c r="B2701" s="8" t="str">
        <f>"2561402013422"</f>
        <v>2561402013422</v>
      </c>
      <c r="C2701" s="8" t="s">
        <v>8</v>
      </c>
      <c r="D2701" s="9">
        <v>0</v>
      </c>
      <c r="E2701" s="8">
        <v>242</v>
      </c>
    </row>
    <row r="2702" s="3" customFormat="1" ht="18.75" spans="1:5">
      <c r="A2702" s="8" t="str">
        <f t="shared" si="47"/>
        <v>250013</v>
      </c>
      <c r="B2702" s="8" t="str">
        <f>"2561402013424"</f>
        <v>2561402013424</v>
      </c>
      <c r="C2702" s="8" t="s">
        <v>8</v>
      </c>
      <c r="D2702" s="9">
        <v>0</v>
      </c>
      <c r="E2702" s="8">
        <v>242</v>
      </c>
    </row>
    <row r="2703" s="3" customFormat="1" ht="18.75" spans="1:5">
      <c r="A2703" s="8" t="str">
        <f t="shared" si="47"/>
        <v>250013</v>
      </c>
      <c r="B2703" s="8" t="str">
        <f>"2561402013425"</f>
        <v>2561402013425</v>
      </c>
      <c r="C2703" s="8" t="s">
        <v>8</v>
      </c>
      <c r="D2703" s="9">
        <v>0</v>
      </c>
      <c r="E2703" s="8">
        <v>242</v>
      </c>
    </row>
    <row r="2704" s="3" customFormat="1" ht="18.75" spans="1:5">
      <c r="A2704" s="8" t="str">
        <f t="shared" si="47"/>
        <v>250013</v>
      </c>
      <c r="B2704" s="8" t="str">
        <f>"2561402013428"</f>
        <v>2561402013428</v>
      </c>
      <c r="C2704" s="8" t="s">
        <v>8</v>
      </c>
      <c r="D2704" s="9">
        <v>0</v>
      </c>
      <c r="E2704" s="8">
        <v>242</v>
      </c>
    </row>
    <row r="2705" s="3" customFormat="1" ht="18.75" spans="1:5">
      <c r="A2705" s="8" t="str">
        <f t="shared" si="47"/>
        <v>250013</v>
      </c>
      <c r="B2705" s="8" t="str">
        <f>"2561402013429"</f>
        <v>2561402013429</v>
      </c>
      <c r="C2705" s="8" t="s">
        <v>8</v>
      </c>
      <c r="D2705" s="9">
        <v>0</v>
      </c>
      <c r="E2705" s="8">
        <v>242</v>
      </c>
    </row>
    <row r="2706" s="3" customFormat="1" ht="18.75" spans="1:5">
      <c r="A2706" s="8" t="str">
        <f t="shared" si="47"/>
        <v>250013</v>
      </c>
      <c r="B2706" s="8" t="str">
        <f>"2561402013501"</f>
        <v>2561402013501</v>
      </c>
      <c r="C2706" s="8" t="s">
        <v>8</v>
      </c>
      <c r="D2706" s="9">
        <v>0</v>
      </c>
      <c r="E2706" s="8">
        <v>242</v>
      </c>
    </row>
    <row r="2707" s="3" customFormat="1" ht="18.75" spans="1:5">
      <c r="A2707" s="8" t="str">
        <f t="shared" si="47"/>
        <v>250013</v>
      </c>
      <c r="B2707" s="8" t="str">
        <f>"2561402013503"</f>
        <v>2561402013503</v>
      </c>
      <c r="C2707" s="8" t="s">
        <v>8</v>
      </c>
      <c r="D2707" s="9">
        <v>0</v>
      </c>
      <c r="E2707" s="8">
        <v>242</v>
      </c>
    </row>
    <row r="2708" s="3" customFormat="1" ht="18.75" spans="1:5">
      <c r="A2708" s="8" t="str">
        <f t="shared" si="47"/>
        <v>250013</v>
      </c>
      <c r="B2708" s="8" t="str">
        <f>"2561402013504"</f>
        <v>2561402013504</v>
      </c>
      <c r="C2708" s="8" t="s">
        <v>8</v>
      </c>
      <c r="D2708" s="9">
        <v>0</v>
      </c>
      <c r="E2708" s="8">
        <v>242</v>
      </c>
    </row>
    <row r="2709" s="3" customFormat="1" ht="18.75" spans="1:5">
      <c r="A2709" s="8" t="str">
        <f t="shared" si="47"/>
        <v>250013</v>
      </c>
      <c r="B2709" s="8" t="str">
        <f>"2561402013508"</f>
        <v>2561402013508</v>
      </c>
      <c r="C2709" s="8" t="s">
        <v>8</v>
      </c>
      <c r="D2709" s="9">
        <v>0</v>
      </c>
      <c r="E2709" s="8">
        <v>242</v>
      </c>
    </row>
    <row r="2710" s="3" customFormat="1" ht="18.75" spans="1:5">
      <c r="A2710" s="8" t="str">
        <f t="shared" si="47"/>
        <v>250013</v>
      </c>
      <c r="B2710" s="8" t="str">
        <f>"2561402013510"</f>
        <v>2561402013510</v>
      </c>
      <c r="C2710" s="8" t="s">
        <v>8</v>
      </c>
      <c r="D2710" s="9">
        <v>0</v>
      </c>
      <c r="E2710" s="8">
        <v>242</v>
      </c>
    </row>
    <row r="2711" s="3" customFormat="1" ht="18.75" spans="1:5">
      <c r="A2711" s="8" t="str">
        <f t="shared" si="47"/>
        <v>250013</v>
      </c>
      <c r="B2711" s="8" t="str">
        <f>"2561402013513"</f>
        <v>2561402013513</v>
      </c>
      <c r="C2711" s="8" t="s">
        <v>8</v>
      </c>
      <c r="D2711" s="9">
        <v>0</v>
      </c>
      <c r="E2711" s="8">
        <v>242</v>
      </c>
    </row>
    <row r="2712" s="3" customFormat="1" ht="18.75" spans="1:5">
      <c r="A2712" s="8" t="str">
        <f t="shared" si="47"/>
        <v>250013</v>
      </c>
      <c r="B2712" s="8" t="str">
        <f>"2561402013514"</f>
        <v>2561402013514</v>
      </c>
      <c r="C2712" s="8" t="s">
        <v>8</v>
      </c>
      <c r="D2712" s="9">
        <v>0</v>
      </c>
      <c r="E2712" s="8">
        <v>242</v>
      </c>
    </row>
    <row r="2713" s="3" customFormat="1" ht="18.75" spans="1:5">
      <c r="A2713" s="8" t="str">
        <f t="shared" si="47"/>
        <v>250013</v>
      </c>
      <c r="B2713" s="8" t="str">
        <f>"2561402013521"</f>
        <v>2561402013521</v>
      </c>
      <c r="C2713" s="8" t="s">
        <v>8</v>
      </c>
      <c r="D2713" s="9">
        <v>0</v>
      </c>
      <c r="E2713" s="8">
        <v>242</v>
      </c>
    </row>
    <row r="2714" s="3" customFormat="1" ht="18.75" spans="1:5">
      <c r="A2714" s="8" t="str">
        <f t="shared" si="47"/>
        <v>250013</v>
      </c>
      <c r="B2714" s="8" t="str">
        <f>"2561402013522"</f>
        <v>2561402013522</v>
      </c>
      <c r="C2714" s="8" t="s">
        <v>8</v>
      </c>
      <c r="D2714" s="9">
        <v>0</v>
      </c>
      <c r="E2714" s="8">
        <v>242</v>
      </c>
    </row>
    <row r="2715" s="3" customFormat="1" ht="18.75" spans="1:5">
      <c r="A2715" s="8" t="str">
        <f t="shared" si="47"/>
        <v>250013</v>
      </c>
      <c r="B2715" s="8" t="str">
        <f>"2561402013524"</f>
        <v>2561402013524</v>
      </c>
      <c r="C2715" s="8" t="s">
        <v>8</v>
      </c>
      <c r="D2715" s="9">
        <v>0</v>
      </c>
      <c r="E2715" s="8">
        <v>242</v>
      </c>
    </row>
    <row r="2716" s="3" customFormat="1" ht="18.75" spans="1:5">
      <c r="A2716" s="8" t="str">
        <f t="shared" si="47"/>
        <v>250013</v>
      </c>
      <c r="B2716" s="8" t="str">
        <f>"2561402013526"</f>
        <v>2561402013526</v>
      </c>
      <c r="C2716" s="8" t="s">
        <v>8</v>
      </c>
      <c r="D2716" s="9">
        <v>0</v>
      </c>
      <c r="E2716" s="8">
        <v>242</v>
      </c>
    </row>
    <row r="2717" s="3" customFormat="1" ht="18.75" spans="1:5">
      <c r="A2717" s="8" t="str">
        <f t="shared" si="47"/>
        <v>250013</v>
      </c>
      <c r="B2717" s="8" t="str">
        <f>"2561402013528"</f>
        <v>2561402013528</v>
      </c>
      <c r="C2717" s="8" t="s">
        <v>8</v>
      </c>
      <c r="D2717" s="9">
        <v>0</v>
      </c>
      <c r="E2717" s="8">
        <v>242</v>
      </c>
    </row>
    <row r="2718" s="3" customFormat="1" ht="18.75" spans="1:5">
      <c r="A2718" s="8" t="str">
        <f t="shared" si="47"/>
        <v>250013</v>
      </c>
      <c r="B2718" s="8" t="str">
        <f>"2561402013530"</f>
        <v>2561402013530</v>
      </c>
      <c r="C2718" s="8" t="s">
        <v>8</v>
      </c>
      <c r="D2718" s="9">
        <v>0</v>
      </c>
      <c r="E2718" s="8">
        <v>242</v>
      </c>
    </row>
    <row r="2719" s="3" customFormat="1" ht="18.75" spans="1:5">
      <c r="A2719" s="8" t="str">
        <f t="shared" si="47"/>
        <v>250013</v>
      </c>
      <c r="B2719" s="8" t="str">
        <f>"2561402013602"</f>
        <v>2561402013602</v>
      </c>
      <c r="C2719" s="8" t="s">
        <v>8</v>
      </c>
      <c r="D2719" s="9">
        <v>0</v>
      </c>
      <c r="E2719" s="8">
        <v>242</v>
      </c>
    </row>
    <row r="2720" s="3" customFormat="1" ht="18.75" spans="1:5">
      <c r="A2720" s="8" t="str">
        <f t="shared" ref="A2720:A2756" si="48">"250013"</f>
        <v>250013</v>
      </c>
      <c r="B2720" s="8" t="str">
        <f>"2561402013604"</f>
        <v>2561402013604</v>
      </c>
      <c r="C2720" s="8" t="s">
        <v>8</v>
      </c>
      <c r="D2720" s="9">
        <v>0</v>
      </c>
      <c r="E2720" s="8">
        <v>242</v>
      </c>
    </row>
    <row r="2721" s="3" customFormat="1" ht="18.75" spans="1:5">
      <c r="A2721" s="8" t="str">
        <f t="shared" si="48"/>
        <v>250013</v>
      </c>
      <c r="B2721" s="8" t="str">
        <f>"2561402013607"</f>
        <v>2561402013607</v>
      </c>
      <c r="C2721" s="8" t="s">
        <v>8</v>
      </c>
      <c r="D2721" s="9">
        <v>0</v>
      </c>
      <c r="E2721" s="8">
        <v>242</v>
      </c>
    </row>
    <row r="2722" s="3" customFormat="1" ht="18.75" spans="1:5">
      <c r="A2722" s="8" t="str">
        <f t="shared" si="48"/>
        <v>250013</v>
      </c>
      <c r="B2722" s="8" t="str">
        <f>"2561402013610"</f>
        <v>2561402013610</v>
      </c>
      <c r="C2722" s="8" t="s">
        <v>8</v>
      </c>
      <c r="D2722" s="9">
        <v>0</v>
      </c>
      <c r="E2722" s="8">
        <v>242</v>
      </c>
    </row>
    <row r="2723" s="3" customFormat="1" ht="18.75" spans="1:5">
      <c r="A2723" s="8" t="str">
        <f t="shared" si="48"/>
        <v>250013</v>
      </c>
      <c r="B2723" s="8" t="str">
        <f>"2561402013611"</f>
        <v>2561402013611</v>
      </c>
      <c r="C2723" s="8" t="s">
        <v>8</v>
      </c>
      <c r="D2723" s="9">
        <v>0</v>
      </c>
      <c r="E2723" s="8">
        <v>242</v>
      </c>
    </row>
    <row r="2724" s="3" customFormat="1" ht="18.75" spans="1:5">
      <c r="A2724" s="8" t="str">
        <f t="shared" si="48"/>
        <v>250013</v>
      </c>
      <c r="B2724" s="8" t="str">
        <f>"2561402013612"</f>
        <v>2561402013612</v>
      </c>
      <c r="C2724" s="8" t="s">
        <v>8</v>
      </c>
      <c r="D2724" s="9">
        <v>0</v>
      </c>
      <c r="E2724" s="8">
        <v>242</v>
      </c>
    </row>
    <row r="2725" s="3" customFormat="1" ht="18.75" spans="1:5">
      <c r="A2725" s="8" t="str">
        <f t="shared" si="48"/>
        <v>250013</v>
      </c>
      <c r="B2725" s="8" t="str">
        <f>"2561402013614"</f>
        <v>2561402013614</v>
      </c>
      <c r="C2725" s="8" t="s">
        <v>8</v>
      </c>
      <c r="D2725" s="9">
        <v>0</v>
      </c>
      <c r="E2725" s="8">
        <v>242</v>
      </c>
    </row>
    <row r="2726" s="3" customFormat="1" ht="18.75" spans="1:5">
      <c r="A2726" s="8" t="str">
        <f t="shared" si="48"/>
        <v>250013</v>
      </c>
      <c r="B2726" s="8" t="str">
        <f>"2561402013619"</f>
        <v>2561402013619</v>
      </c>
      <c r="C2726" s="8" t="s">
        <v>8</v>
      </c>
      <c r="D2726" s="9">
        <v>0</v>
      </c>
      <c r="E2726" s="8">
        <v>242</v>
      </c>
    </row>
    <row r="2727" s="3" customFormat="1" ht="18.75" spans="1:5">
      <c r="A2727" s="8" t="str">
        <f t="shared" si="48"/>
        <v>250013</v>
      </c>
      <c r="B2727" s="8" t="str">
        <f>"2561402013620"</f>
        <v>2561402013620</v>
      </c>
      <c r="C2727" s="8" t="s">
        <v>8</v>
      </c>
      <c r="D2727" s="9">
        <v>0</v>
      </c>
      <c r="E2727" s="8">
        <v>242</v>
      </c>
    </row>
    <row r="2728" s="3" customFormat="1" ht="18.75" spans="1:5">
      <c r="A2728" s="8" t="str">
        <f t="shared" si="48"/>
        <v>250013</v>
      </c>
      <c r="B2728" s="8" t="str">
        <f>"2561402013621"</f>
        <v>2561402013621</v>
      </c>
      <c r="C2728" s="8" t="s">
        <v>8</v>
      </c>
      <c r="D2728" s="9">
        <v>0</v>
      </c>
      <c r="E2728" s="8">
        <v>242</v>
      </c>
    </row>
    <row r="2729" s="3" customFormat="1" ht="18.75" spans="1:5">
      <c r="A2729" s="8" t="str">
        <f t="shared" si="48"/>
        <v>250013</v>
      </c>
      <c r="B2729" s="8" t="str">
        <f>"2561402013622"</f>
        <v>2561402013622</v>
      </c>
      <c r="C2729" s="8" t="s">
        <v>8</v>
      </c>
      <c r="D2729" s="9">
        <v>0</v>
      </c>
      <c r="E2729" s="8">
        <v>242</v>
      </c>
    </row>
    <row r="2730" s="3" customFormat="1" ht="18.75" spans="1:5">
      <c r="A2730" s="8" t="str">
        <f t="shared" si="48"/>
        <v>250013</v>
      </c>
      <c r="B2730" s="8" t="str">
        <f>"2561402013625"</f>
        <v>2561402013625</v>
      </c>
      <c r="C2730" s="8" t="s">
        <v>8</v>
      </c>
      <c r="D2730" s="9">
        <v>0</v>
      </c>
      <c r="E2730" s="8">
        <v>242</v>
      </c>
    </row>
    <row r="2731" s="3" customFormat="1" ht="18.75" spans="1:5">
      <c r="A2731" s="8" t="str">
        <f t="shared" si="48"/>
        <v>250013</v>
      </c>
      <c r="B2731" s="8" t="str">
        <f>"2561402013626"</f>
        <v>2561402013626</v>
      </c>
      <c r="C2731" s="8" t="s">
        <v>8</v>
      </c>
      <c r="D2731" s="9">
        <v>0</v>
      </c>
      <c r="E2731" s="8">
        <v>242</v>
      </c>
    </row>
    <row r="2732" s="3" customFormat="1" ht="18.75" spans="1:5">
      <c r="A2732" s="8" t="str">
        <f t="shared" si="48"/>
        <v>250013</v>
      </c>
      <c r="B2732" s="8" t="str">
        <f>"2561402013630"</f>
        <v>2561402013630</v>
      </c>
      <c r="C2732" s="8" t="s">
        <v>8</v>
      </c>
      <c r="D2732" s="9">
        <v>0</v>
      </c>
      <c r="E2732" s="8">
        <v>242</v>
      </c>
    </row>
    <row r="2733" s="3" customFormat="1" ht="18.75" spans="1:5">
      <c r="A2733" s="8" t="str">
        <f t="shared" si="48"/>
        <v>250013</v>
      </c>
      <c r="B2733" s="8" t="str">
        <f>"2561402013701"</f>
        <v>2561402013701</v>
      </c>
      <c r="C2733" s="8" t="s">
        <v>8</v>
      </c>
      <c r="D2733" s="9">
        <v>0</v>
      </c>
      <c r="E2733" s="8">
        <v>242</v>
      </c>
    </row>
    <row r="2734" s="3" customFormat="1" ht="18.75" spans="1:5">
      <c r="A2734" s="8" t="str">
        <f t="shared" si="48"/>
        <v>250013</v>
      </c>
      <c r="B2734" s="8" t="str">
        <f>"2561402013705"</f>
        <v>2561402013705</v>
      </c>
      <c r="C2734" s="8" t="s">
        <v>8</v>
      </c>
      <c r="D2734" s="9">
        <v>0</v>
      </c>
      <c r="E2734" s="8">
        <v>242</v>
      </c>
    </row>
    <row r="2735" s="3" customFormat="1" ht="18.75" spans="1:5">
      <c r="A2735" s="8" t="str">
        <f t="shared" si="48"/>
        <v>250013</v>
      </c>
      <c r="B2735" s="8" t="str">
        <f>"2561402013706"</f>
        <v>2561402013706</v>
      </c>
      <c r="C2735" s="8" t="s">
        <v>8</v>
      </c>
      <c r="D2735" s="9">
        <v>0</v>
      </c>
      <c r="E2735" s="8">
        <v>242</v>
      </c>
    </row>
    <row r="2736" s="3" customFormat="1" ht="18.75" spans="1:5">
      <c r="A2736" s="8" t="str">
        <f t="shared" si="48"/>
        <v>250013</v>
      </c>
      <c r="B2736" s="8" t="str">
        <f>"2561402013708"</f>
        <v>2561402013708</v>
      </c>
      <c r="C2736" s="8" t="s">
        <v>8</v>
      </c>
      <c r="D2736" s="9">
        <v>0</v>
      </c>
      <c r="E2736" s="8">
        <v>242</v>
      </c>
    </row>
    <row r="2737" s="3" customFormat="1" ht="18.75" spans="1:5">
      <c r="A2737" s="8" t="str">
        <f t="shared" si="48"/>
        <v>250013</v>
      </c>
      <c r="B2737" s="8" t="str">
        <f>"2561402013710"</f>
        <v>2561402013710</v>
      </c>
      <c r="C2737" s="8" t="s">
        <v>8</v>
      </c>
      <c r="D2737" s="9">
        <v>0</v>
      </c>
      <c r="E2737" s="8">
        <v>242</v>
      </c>
    </row>
    <row r="2738" s="3" customFormat="1" ht="18.75" spans="1:5">
      <c r="A2738" s="8" t="str">
        <f t="shared" si="48"/>
        <v>250013</v>
      </c>
      <c r="B2738" s="8" t="str">
        <f>"2561402013714"</f>
        <v>2561402013714</v>
      </c>
      <c r="C2738" s="8" t="s">
        <v>8</v>
      </c>
      <c r="D2738" s="9">
        <v>0</v>
      </c>
      <c r="E2738" s="8">
        <v>242</v>
      </c>
    </row>
    <row r="2739" s="3" customFormat="1" ht="18.75" spans="1:5">
      <c r="A2739" s="8" t="str">
        <f t="shared" si="48"/>
        <v>250013</v>
      </c>
      <c r="B2739" s="8" t="str">
        <f>"2561402013717"</f>
        <v>2561402013717</v>
      </c>
      <c r="C2739" s="8" t="s">
        <v>8</v>
      </c>
      <c r="D2739" s="9">
        <v>0</v>
      </c>
      <c r="E2739" s="8">
        <v>242</v>
      </c>
    </row>
    <row r="2740" s="3" customFormat="1" ht="18.75" spans="1:5">
      <c r="A2740" s="8" t="str">
        <f t="shared" si="48"/>
        <v>250013</v>
      </c>
      <c r="B2740" s="8" t="str">
        <f>"2561402013718"</f>
        <v>2561402013718</v>
      </c>
      <c r="C2740" s="8" t="s">
        <v>8</v>
      </c>
      <c r="D2740" s="9">
        <v>0</v>
      </c>
      <c r="E2740" s="8">
        <v>242</v>
      </c>
    </row>
    <row r="2741" s="3" customFormat="1" ht="18.75" spans="1:5">
      <c r="A2741" s="8" t="str">
        <f t="shared" si="48"/>
        <v>250013</v>
      </c>
      <c r="B2741" s="8" t="str">
        <f>"2561402013719"</f>
        <v>2561402013719</v>
      </c>
      <c r="C2741" s="8" t="s">
        <v>8</v>
      </c>
      <c r="D2741" s="9">
        <v>0</v>
      </c>
      <c r="E2741" s="8">
        <v>242</v>
      </c>
    </row>
    <row r="2742" s="3" customFormat="1" ht="18.75" spans="1:5">
      <c r="A2742" s="8" t="str">
        <f t="shared" si="48"/>
        <v>250013</v>
      </c>
      <c r="B2742" s="8" t="str">
        <f>"2561402013721"</f>
        <v>2561402013721</v>
      </c>
      <c r="C2742" s="8" t="s">
        <v>8</v>
      </c>
      <c r="D2742" s="9">
        <v>0</v>
      </c>
      <c r="E2742" s="8">
        <v>242</v>
      </c>
    </row>
    <row r="2743" s="3" customFormat="1" ht="18.75" spans="1:5">
      <c r="A2743" s="8" t="str">
        <f t="shared" si="48"/>
        <v>250013</v>
      </c>
      <c r="B2743" s="8" t="str">
        <f>"2561402013722"</f>
        <v>2561402013722</v>
      </c>
      <c r="C2743" s="8" t="s">
        <v>8</v>
      </c>
      <c r="D2743" s="9">
        <v>0</v>
      </c>
      <c r="E2743" s="8">
        <v>242</v>
      </c>
    </row>
    <row r="2744" s="3" customFormat="1" ht="18.75" spans="1:5">
      <c r="A2744" s="8" t="str">
        <f t="shared" si="48"/>
        <v>250013</v>
      </c>
      <c r="B2744" s="8" t="str">
        <f>"2561402013724"</f>
        <v>2561402013724</v>
      </c>
      <c r="C2744" s="8" t="s">
        <v>8</v>
      </c>
      <c r="D2744" s="9">
        <v>0</v>
      </c>
      <c r="E2744" s="8">
        <v>242</v>
      </c>
    </row>
    <row r="2745" s="3" customFormat="1" ht="18.75" spans="1:5">
      <c r="A2745" s="8" t="str">
        <f t="shared" si="48"/>
        <v>250013</v>
      </c>
      <c r="B2745" s="8" t="str">
        <f>"2561402013729"</f>
        <v>2561402013729</v>
      </c>
      <c r="C2745" s="8" t="s">
        <v>8</v>
      </c>
      <c r="D2745" s="9">
        <v>0</v>
      </c>
      <c r="E2745" s="8">
        <v>242</v>
      </c>
    </row>
    <row r="2746" s="3" customFormat="1" ht="18.75" spans="1:5">
      <c r="A2746" s="8" t="str">
        <f t="shared" si="48"/>
        <v>250013</v>
      </c>
      <c r="B2746" s="8" t="str">
        <f>"2561402013805"</f>
        <v>2561402013805</v>
      </c>
      <c r="C2746" s="8" t="s">
        <v>8</v>
      </c>
      <c r="D2746" s="9">
        <v>0</v>
      </c>
      <c r="E2746" s="8">
        <v>242</v>
      </c>
    </row>
    <row r="2747" s="3" customFormat="1" ht="18.75" spans="1:5">
      <c r="A2747" s="8" t="str">
        <f t="shared" si="48"/>
        <v>250013</v>
      </c>
      <c r="B2747" s="8" t="str">
        <f>"2561402013806"</f>
        <v>2561402013806</v>
      </c>
      <c r="C2747" s="8" t="s">
        <v>8</v>
      </c>
      <c r="D2747" s="9">
        <v>0</v>
      </c>
      <c r="E2747" s="8">
        <v>242</v>
      </c>
    </row>
    <row r="2748" s="3" customFormat="1" ht="18.75" spans="1:5">
      <c r="A2748" s="8" t="str">
        <f t="shared" si="48"/>
        <v>250013</v>
      </c>
      <c r="B2748" s="8" t="str">
        <f>"2561402013808"</f>
        <v>2561402013808</v>
      </c>
      <c r="C2748" s="8" t="s">
        <v>8</v>
      </c>
      <c r="D2748" s="9">
        <v>0</v>
      </c>
      <c r="E2748" s="8">
        <v>242</v>
      </c>
    </row>
    <row r="2749" s="3" customFormat="1" ht="18.75" spans="1:5">
      <c r="A2749" s="8" t="str">
        <f t="shared" si="48"/>
        <v>250013</v>
      </c>
      <c r="B2749" s="8" t="str">
        <f>"2561402013814"</f>
        <v>2561402013814</v>
      </c>
      <c r="C2749" s="8" t="s">
        <v>8</v>
      </c>
      <c r="D2749" s="9">
        <v>0</v>
      </c>
      <c r="E2749" s="8">
        <v>242</v>
      </c>
    </row>
    <row r="2750" s="3" customFormat="1" ht="18.75" spans="1:5">
      <c r="A2750" s="8" t="str">
        <f t="shared" si="48"/>
        <v>250013</v>
      </c>
      <c r="B2750" s="8" t="str">
        <f>"2561402013817"</f>
        <v>2561402013817</v>
      </c>
      <c r="C2750" s="8" t="s">
        <v>8</v>
      </c>
      <c r="D2750" s="9">
        <v>0</v>
      </c>
      <c r="E2750" s="8">
        <v>242</v>
      </c>
    </row>
    <row r="2751" s="3" customFormat="1" ht="18.75" spans="1:5">
      <c r="A2751" s="8" t="str">
        <f t="shared" si="48"/>
        <v>250013</v>
      </c>
      <c r="B2751" s="8" t="str">
        <f>"2561402013818"</f>
        <v>2561402013818</v>
      </c>
      <c r="C2751" s="8" t="s">
        <v>8</v>
      </c>
      <c r="D2751" s="9">
        <v>0</v>
      </c>
      <c r="E2751" s="8">
        <v>242</v>
      </c>
    </row>
    <row r="2752" s="3" customFormat="1" ht="18.75" spans="1:5">
      <c r="A2752" s="8" t="str">
        <f t="shared" si="48"/>
        <v>250013</v>
      </c>
      <c r="B2752" s="8" t="str">
        <f>"2561402013822"</f>
        <v>2561402013822</v>
      </c>
      <c r="C2752" s="8" t="s">
        <v>8</v>
      </c>
      <c r="D2752" s="9">
        <v>0</v>
      </c>
      <c r="E2752" s="8">
        <v>242</v>
      </c>
    </row>
    <row r="2753" s="3" customFormat="1" ht="18.75" spans="1:5">
      <c r="A2753" s="8" t="str">
        <f t="shared" si="48"/>
        <v>250013</v>
      </c>
      <c r="B2753" s="8" t="str">
        <f>"2561402013823"</f>
        <v>2561402013823</v>
      </c>
      <c r="C2753" s="8" t="s">
        <v>8</v>
      </c>
      <c r="D2753" s="9">
        <v>0</v>
      </c>
      <c r="E2753" s="8">
        <v>242</v>
      </c>
    </row>
    <row r="2754" s="3" customFormat="1" ht="18.75" spans="1:5">
      <c r="A2754" s="8" t="str">
        <f t="shared" si="48"/>
        <v>250013</v>
      </c>
      <c r="B2754" s="8" t="str">
        <f>"2561402013824"</f>
        <v>2561402013824</v>
      </c>
      <c r="C2754" s="8" t="s">
        <v>8</v>
      </c>
      <c r="D2754" s="9">
        <v>0</v>
      </c>
      <c r="E2754" s="8">
        <v>242</v>
      </c>
    </row>
    <row r="2755" s="3" customFormat="1" ht="18.75" spans="1:5">
      <c r="A2755" s="8" t="str">
        <f t="shared" si="48"/>
        <v>250013</v>
      </c>
      <c r="B2755" s="8" t="str">
        <f>"2561402013826"</f>
        <v>2561402013826</v>
      </c>
      <c r="C2755" s="8" t="s">
        <v>8</v>
      </c>
      <c r="D2755" s="9">
        <v>0</v>
      </c>
      <c r="E2755" s="8">
        <v>242</v>
      </c>
    </row>
    <row r="2756" s="3" customFormat="1" ht="18.75" spans="1:5">
      <c r="A2756" s="8" t="str">
        <f t="shared" si="48"/>
        <v>250013</v>
      </c>
      <c r="B2756" s="8" t="str">
        <f>"2561402013827"</f>
        <v>2561402013827</v>
      </c>
      <c r="C2756" s="8" t="s">
        <v>8</v>
      </c>
      <c r="D2756" s="9">
        <v>0</v>
      </c>
      <c r="E2756" s="8">
        <v>242</v>
      </c>
    </row>
    <row r="2757" s="3" customFormat="1" ht="18.75" spans="1:5">
      <c r="A2757" s="8" t="str">
        <f t="shared" ref="A2757:A2820" si="49">"250014"</f>
        <v>250014</v>
      </c>
      <c r="B2757" s="8" t="str">
        <f>"2561403010302"</f>
        <v>2561403010302</v>
      </c>
      <c r="C2757" s="8" t="s">
        <v>9</v>
      </c>
      <c r="D2757" s="9">
        <v>70.3</v>
      </c>
      <c r="E2757" s="8">
        <v>1</v>
      </c>
    </row>
    <row r="2758" s="3" customFormat="1" ht="18.75" spans="1:5">
      <c r="A2758" s="8" t="str">
        <f t="shared" si="49"/>
        <v>250014</v>
      </c>
      <c r="B2758" s="8" t="str">
        <f>"2561403010214"</f>
        <v>2561403010214</v>
      </c>
      <c r="C2758" s="8" t="s">
        <v>9</v>
      </c>
      <c r="D2758" s="9">
        <v>69.72</v>
      </c>
      <c r="E2758" s="8">
        <v>2</v>
      </c>
    </row>
    <row r="2759" s="3" customFormat="1" ht="18.75" spans="1:5">
      <c r="A2759" s="8" t="str">
        <f t="shared" si="49"/>
        <v>250014</v>
      </c>
      <c r="B2759" s="8" t="str">
        <f>"2561403010106"</f>
        <v>2561403010106</v>
      </c>
      <c r="C2759" s="8" t="s">
        <v>9</v>
      </c>
      <c r="D2759" s="9">
        <v>69.58</v>
      </c>
      <c r="E2759" s="8">
        <v>3</v>
      </c>
    </row>
    <row r="2760" s="3" customFormat="1" ht="18.75" spans="1:5">
      <c r="A2760" s="8" t="str">
        <f t="shared" si="49"/>
        <v>250014</v>
      </c>
      <c r="B2760" s="8" t="str">
        <f>"2561403010308"</f>
        <v>2561403010308</v>
      </c>
      <c r="C2760" s="8" t="s">
        <v>9</v>
      </c>
      <c r="D2760" s="9">
        <v>65.56</v>
      </c>
      <c r="E2760" s="8">
        <v>4</v>
      </c>
    </row>
    <row r="2761" s="3" customFormat="1" ht="18.75" spans="1:5">
      <c r="A2761" s="8" t="str">
        <f t="shared" si="49"/>
        <v>250014</v>
      </c>
      <c r="B2761" s="8" t="str">
        <f>"2561403010309"</f>
        <v>2561403010309</v>
      </c>
      <c r="C2761" s="8" t="s">
        <v>9</v>
      </c>
      <c r="D2761" s="9">
        <v>65.23</v>
      </c>
      <c r="E2761" s="8">
        <v>5</v>
      </c>
    </row>
    <row r="2762" s="3" customFormat="1" ht="18.75" spans="1:5">
      <c r="A2762" s="8" t="str">
        <f t="shared" si="49"/>
        <v>250014</v>
      </c>
      <c r="B2762" s="8" t="str">
        <f>"2561403010129"</f>
        <v>2561403010129</v>
      </c>
      <c r="C2762" s="8" t="s">
        <v>9</v>
      </c>
      <c r="D2762" s="9">
        <v>63.58</v>
      </c>
      <c r="E2762" s="8">
        <v>6</v>
      </c>
    </row>
    <row r="2763" s="3" customFormat="1" ht="18.75" spans="1:5">
      <c r="A2763" s="8" t="str">
        <f t="shared" si="49"/>
        <v>250014</v>
      </c>
      <c r="B2763" s="8" t="str">
        <f>"2561403010112"</f>
        <v>2561403010112</v>
      </c>
      <c r="C2763" s="8" t="s">
        <v>9</v>
      </c>
      <c r="D2763" s="9">
        <v>63.27</v>
      </c>
      <c r="E2763" s="8">
        <v>7</v>
      </c>
    </row>
    <row r="2764" s="3" customFormat="1" ht="18.75" spans="1:5">
      <c r="A2764" s="8" t="str">
        <f t="shared" si="49"/>
        <v>250014</v>
      </c>
      <c r="B2764" s="8" t="str">
        <f>"2561403010123"</f>
        <v>2561403010123</v>
      </c>
      <c r="C2764" s="8" t="s">
        <v>9</v>
      </c>
      <c r="D2764" s="9">
        <v>63.13</v>
      </c>
      <c r="E2764" s="8">
        <v>8</v>
      </c>
    </row>
    <row r="2765" s="3" customFormat="1" ht="18.75" spans="1:5">
      <c r="A2765" s="8" t="str">
        <f t="shared" si="49"/>
        <v>250014</v>
      </c>
      <c r="B2765" s="8" t="str">
        <f>"2561403010121"</f>
        <v>2561403010121</v>
      </c>
      <c r="C2765" s="8" t="s">
        <v>9</v>
      </c>
      <c r="D2765" s="9">
        <v>62.33</v>
      </c>
      <c r="E2765" s="8">
        <v>9</v>
      </c>
    </row>
    <row r="2766" s="3" customFormat="1" ht="18.75" spans="1:5">
      <c r="A2766" s="8" t="str">
        <f t="shared" si="49"/>
        <v>250014</v>
      </c>
      <c r="B2766" s="8" t="str">
        <f>"2561403010324"</f>
        <v>2561403010324</v>
      </c>
      <c r="C2766" s="8" t="s">
        <v>9</v>
      </c>
      <c r="D2766" s="9">
        <v>61.76</v>
      </c>
      <c r="E2766" s="8">
        <v>10</v>
      </c>
    </row>
    <row r="2767" s="3" customFormat="1" ht="18.75" spans="1:5">
      <c r="A2767" s="8" t="str">
        <f t="shared" si="49"/>
        <v>250014</v>
      </c>
      <c r="B2767" s="8" t="str">
        <f>"2561403010116"</f>
        <v>2561403010116</v>
      </c>
      <c r="C2767" s="8" t="s">
        <v>9</v>
      </c>
      <c r="D2767" s="9">
        <v>60.87</v>
      </c>
      <c r="E2767" s="8">
        <v>11</v>
      </c>
    </row>
    <row r="2768" s="3" customFormat="1" ht="18.75" spans="1:5">
      <c r="A2768" s="8" t="str">
        <f t="shared" si="49"/>
        <v>250014</v>
      </c>
      <c r="B2768" s="8" t="str">
        <f>"2561403010215"</f>
        <v>2561403010215</v>
      </c>
      <c r="C2768" s="8" t="s">
        <v>9</v>
      </c>
      <c r="D2768" s="9">
        <v>60.65</v>
      </c>
      <c r="E2768" s="8">
        <v>12</v>
      </c>
    </row>
    <row r="2769" s="3" customFormat="1" ht="18.75" spans="1:5">
      <c r="A2769" s="8" t="str">
        <f t="shared" si="49"/>
        <v>250014</v>
      </c>
      <c r="B2769" s="8" t="str">
        <f>"2561403010224"</f>
        <v>2561403010224</v>
      </c>
      <c r="C2769" s="8" t="s">
        <v>9</v>
      </c>
      <c r="D2769" s="9">
        <v>60.54</v>
      </c>
      <c r="E2769" s="8">
        <v>13</v>
      </c>
    </row>
    <row r="2770" s="3" customFormat="1" ht="18.75" spans="1:5">
      <c r="A2770" s="8" t="str">
        <f t="shared" si="49"/>
        <v>250014</v>
      </c>
      <c r="B2770" s="8" t="str">
        <f>"2561403010210"</f>
        <v>2561403010210</v>
      </c>
      <c r="C2770" s="8" t="s">
        <v>9</v>
      </c>
      <c r="D2770" s="9">
        <v>60.48</v>
      </c>
      <c r="E2770" s="8">
        <v>14</v>
      </c>
    </row>
    <row r="2771" s="3" customFormat="1" ht="18.75" spans="1:5">
      <c r="A2771" s="8" t="str">
        <f t="shared" si="49"/>
        <v>250014</v>
      </c>
      <c r="B2771" s="8" t="str">
        <f>"2561403010202"</f>
        <v>2561403010202</v>
      </c>
      <c r="C2771" s="8" t="s">
        <v>9</v>
      </c>
      <c r="D2771" s="9">
        <v>60.19</v>
      </c>
      <c r="E2771" s="8">
        <v>15</v>
      </c>
    </row>
    <row r="2772" s="3" customFormat="1" ht="18.75" spans="1:5">
      <c r="A2772" s="8" t="str">
        <f t="shared" si="49"/>
        <v>250014</v>
      </c>
      <c r="B2772" s="8" t="str">
        <f>"2561403010221"</f>
        <v>2561403010221</v>
      </c>
      <c r="C2772" s="8" t="s">
        <v>9</v>
      </c>
      <c r="D2772" s="9">
        <v>60.03</v>
      </c>
      <c r="E2772" s="8">
        <v>16</v>
      </c>
    </row>
    <row r="2773" s="3" customFormat="1" ht="18.75" spans="1:5">
      <c r="A2773" s="8" t="str">
        <f t="shared" si="49"/>
        <v>250014</v>
      </c>
      <c r="B2773" s="8" t="str">
        <f>"2561403010110"</f>
        <v>2561403010110</v>
      </c>
      <c r="C2773" s="8" t="s">
        <v>9</v>
      </c>
      <c r="D2773" s="9">
        <v>59.3</v>
      </c>
      <c r="E2773" s="8">
        <v>17</v>
      </c>
    </row>
    <row r="2774" s="3" customFormat="1" ht="18.75" spans="1:5">
      <c r="A2774" s="8" t="str">
        <f t="shared" si="49"/>
        <v>250014</v>
      </c>
      <c r="B2774" s="8" t="str">
        <f>"2561403010307"</f>
        <v>2561403010307</v>
      </c>
      <c r="C2774" s="8" t="s">
        <v>9</v>
      </c>
      <c r="D2774" s="9">
        <v>57.91</v>
      </c>
      <c r="E2774" s="8">
        <v>18</v>
      </c>
    </row>
    <row r="2775" s="3" customFormat="1" ht="18.75" spans="1:5">
      <c r="A2775" s="8" t="str">
        <f t="shared" si="49"/>
        <v>250014</v>
      </c>
      <c r="B2775" s="8" t="str">
        <f>"2561403010120"</f>
        <v>2561403010120</v>
      </c>
      <c r="C2775" s="8" t="s">
        <v>9</v>
      </c>
      <c r="D2775" s="9">
        <v>57.58</v>
      </c>
      <c r="E2775" s="8">
        <v>19</v>
      </c>
    </row>
    <row r="2776" s="3" customFormat="1" ht="18.75" spans="1:5">
      <c r="A2776" s="8" t="str">
        <f t="shared" si="49"/>
        <v>250014</v>
      </c>
      <c r="B2776" s="8" t="str">
        <f>"2561403010402"</f>
        <v>2561403010402</v>
      </c>
      <c r="C2776" s="8" t="s">
        <v>9</v>
      </c>
      <c r="D2776" s="9">
        <v>57.58</v>
      </c>
      <c r="E2776" s="8">
        <v>19</v>
      </c>
    </row>
    <row r="2777" s="3" customFormat="1" ht="18.75" spans="1:5">
      <c r="A2777" s="8" t="str">
        <f t="shared" si="49"/>
        <v>250014</v>
      </c>
      <c r="B2777" s="8" t="str">
        <f>"2561403010211"</f>
        <v>2561403010211</v>
      </c>
      <c r="C2777" s="8" t="s">
        <v>9</v>
      </c>
      <c r="D2777" s="9">
        <v>56.8</v>
      </c>
      <c r="E2777" s="8">
        <v>21</v>
      </c>
    </row>
    <row r="2778" s="3" customFormat="1" ht="18.75" spans="1:5">
      <c r="A2778" s="8" t="str">
        <f t="shared" si="49"/>
        <v>250014</v>
      </c>
      <c r="B2778" s="8" t="str">
        <f>"2561403010209"</f>
        <v>2561403010209</v>
      </c>
      <c r="C2778" s="8" t="s">
        <v>9</v>
      </c>
      <c r="D2778" s="9">
        <v>56.34</v>
      </c>
      <c r="E2778" s="8">
        <v>22</v>
      </c>
    </row>
    <row r="2779" s="3" customFormat="1" ht="18.75" spans="1:5">
      <c r="A2779" s="8" t="str">
        <f t="shared" si="49"/>
        <v>250014</v>
      </c>
      <c r="B2779" s="8" t="str">
        <f>"2561403010119"</f>
        <v>2561403010119</v>
      </c>
      <c r="C2779" s="8" t="s">
        <v>9</v>
      </c>
      <c r="D2779" s="9">
        <v>56.21</v>
      </c>
      <c r="E2779" s="8">
        <v>23</v>
      </c>
    </row>
    <row r="2780" s="3" customFormat="1" ht="18.75" spans="1:5">
      <c r="A2780" s="8" t="str">
        <f t="shared" si="49"/>
        <v>250014</v>
      </c>
      <c r="B2780" s="8" t="str">
        <f>"2561403010317"</f>
        <v>2561403010317</v>
      </c>
      <c r="C2780" s="8" t="s">
        <v>9</v>
      </c>
      <c r="D2780" s="9">
        <v>56.06</v>
      </c>
      <c r="E2780" s="8">
        <v>24</v>
      </c>
    </row>
    <row r="2781" s="3" customFormat="1" ht="18.75" spans="1:5">
      <c r="A2781" s="8" t="str">
        <f t="shared" si="49"/>
        <v>250014</v>
      </c>
      <c r="B2781" s="8" t="str">
        <f>"2561403010328"</f>
        <v>2561403010328</v>
      </c>
      <c r="C2781" s="8" t="s">
        <v>9</v>
      </c>
      <c r="D2781" s="9">
        <v>55.51</v>
      </c>
      <c r="E2781" s="8">
        <v>25</v>
      </c>
    </row>
    <row r="2782" s="3" customFormat="1" ht="18.75" spans="1:5">
      <c r="A2782" s="8" t="str">
        <f t="shared" si="49"/>
        <v>250014</v>
      </c>
      <c r="B2782" s="8" t="str">
        <f>"2561403010117"</f>
        <v>2561403010117</v>
      </c>
      <c r="C2782" s="8" t="s">
        <v>9</v>
      </c>
      <c r="D2782" s="9">
        <v>55.48</v>
      </c>
      <c r="E2782" s="8">
        <v>26</v>
      </c>
    </row>
    <row r="2783" s="3" customFormat="1" ht="18.75" spans="1:5">
      <c r="A2783" s="8" t="str">
        <f t="shared" si="49"/>
        <v>250014</v>
      </c>
      <c r="B2783" s="8" t="str">
        <f>"2561403010212"</f>
        <v>2561403010212</v>
      </c>
      <c r="C2783" s="8" t="s">
        <v>9</v>
      </c>
      <c r="D2783" s="9">
        <v>55.36</v>
      </c>
      <c r="E2783" s="8">
        <v>27</v>
      </c>
    </row>
    <row r="2784" s="3" customFormat="1" ht="18.75" spans="1:5">
      <c r="A2784" s="8" t="str">
        <f t="shared" si="49"/>
        <v>250014</v>
      </c>
      <c r="B2784" s="8" t="str">
        <f>"2561403010326"</f>
        <v>2561403010326</v>
      </c>
      <c r="C2784" s="8" t="s">
        <v>9</v>
      </c>
      <c r="D2784" s="9">
        <v>54.89</v>
      </c>
      <c r="E2784" s="8">
        <v>28</v>
      </c>
    </row>
    <row r="2785" s="3" customFormat="1" ht="18.75" spans="1:5">
      <c r="A2785" s="8" t="str">
        <f t="shared" si="49"/>
        <v>250014</v>
      </c>
      <c r="B2785" s="8" t="str">
        <f>"2561403010230"</f>
        <v>2561403010230</v>
      </c>
      <c r="C2785" s="8" t="s">
        <v>9</v>
      </c>
      <c r="D2785" s="9">
        <v>54.55</v>
      </c>
      <c r="E2785" s="8">
        <v>29</v>
      </c>
    </row>
    <row r="2786" s="3" customFormat="1" ht="18.75" spans="1:5">
      <c r="A2786" s="8" t="str">
        <f t="shared" si="49"/>
        <v>250014</v>
      </c>
      <c r="B2786" s="8" t="str">
        <f>"2561403010105"</f>
        <v>2561403010105</v>
      </c>
      <c r="C2786" s="8" t="s">
        <v>9</v>
      </c>
      <c r="D2786" s="9">
        <v>54.46</v>
      </c>
      <c r="E2786" s="8">
        <v>30</v>
      </c>
    </row>
    <row r="2787" s="3" customFormat="1" ht="18.75" spans="1:5">
      <c r="A2787" s="8" t="str">
        <f t="shared" si="49"/>
        <v>250014</v>
      </c>
      <c r="B2787" s="8" t="str">
        <f>"2561403010226"</f>
        <v>2561403010226</v>
      </c>
      <c r="C2787" s="8" t="s">
        <v>9</v>
      </c>
      <c r="D2787" s="9">
        <v>54.28</v>
      </c>
      <c r="E2787" s="8">
        <v>31</v>
      </c>
    </row>
    <row r="2788" s="3" customFormat="1" ht="18.75" spans="1:5">
      <c r="A2788" s="8" t="str">
        <f t="shared" si="49"/>
        <v>250014</v>
      </c>
      <c r="B2788" s="8" t="str">
        <f>"2561403010205"</f>
        <v>2561403010205</v>
      </c>
      <c r="C2788" s="8" t="s">
        <v>9</v>
      </c>
      <c r="D2788" s="9">
        <v>54.03</v>
      </c>
      <c r="E2788" s="8">
        <v>32</v>
      </c>
    </row>
    <row r="2789" s="3" customFormat="1" ht="18.75" spans="1:5">
      <c r="A2789" s="8" t="str">
        <f t="shared" si="49"/>
        <v>250014</v>
      </c>
      <c r="B2789" s="8" t="str">
        <f>"2561403010118"</f>
        <v>2561403010118</v>
      </c>
      <c r="C2789" s="8" t="s">
        <v>9</v>
      </c>
      <c r="D2789" s="9">
        <v>54.01</v>
      </c>
      <c r="E2789" s="8">
        <v>33</v>
      </c>
    </row>
    <row r="2790" s="3" customFormat="1" ht="18.75" spans="1:5">
      <c r="A2790" s="8" t="str">
        <f t="shared" si="49"/>
        <v>250014</v>
      </c>
      <c r="B2790" s="8" t="str">
        <f>"2561403010305"</f>
        <v>2561403010305</v>
      </c>
      <c r="C2790" s="8" t="s">
        <v>9</v>
      </c>
      <c r="D2790" s="9">
        <v>53.94</v>
      </c>
      <c r="E2790" s="8">
        <v>34</v>
      </c>
    </row>
    <row r="2791" s="3" customFormat="1" ht="18.75" spans="1:5">
      <c r="A2791" s="8" t="str">
        <f t="shared" si="49"/>
        <v>250014</v>
      </c>
      <c r="B2791" s="8" t="str">
        <f>"2561403010229"</f>
        <v>2561403010229</v>
      </c>
      <c r="C2791" s="8" t="s">
        <v>9</v>
      </c>
      <c r="D2791" s="9">
        <v>53.93</v>
      </c>
      <c r="E2791" s="8">
        <v>35</v>
      </c>
    </row>
    <row r="2792" s="3" customFormat="1" ht="18.75" spans="1:5">
      <c r="A2792" s="8" t="str">
        <f t="shared" si="49"/>
        <v>250014</v>
      </c>
      <c r="B2792" s="8" t="str">
        <f>"2561403010320"</f>
        <v>2561403010320</v>
      </c>
      <c r="C2792" s="8" t="s">
        <v>9</v>
      </c>
      <c r="D2792" s="9">
        <v>53.71</v>
      </c>
      <c r="E2792" s="8">
        <v>36</v>
      </c>
    </row>
    <row r="2793" s="3" customFormat="1" ht="18.75" spans="1:5">
      <c r="A2793" s="8" t="str">
        <f t="shared" si="49"/>
        <v>250014</v>
      </c>
      <c r="B2793" s="8" t="str">
        <f>"2561403010323"</f>
        <v>2561403010323</v>
      </c>
      <c r="C2793" s="8" t="s">
        <v>9</v>
      </c>
      <c r="D2793" s="9">
        <v>53.45</v>
      </c>
      <c r="E2793" s="8">
        <v>37</v>
      </c>
    </row>
    <row r="2794" s="3" customFormat="1" ht="18.75" spans="1:5">
      <c r="A2794" s="8" t="str">
        <f t="shared" si="49"/>
        <v>250014</v>
      </c>
      <c r="B2794" s="8" t="str">
        <f>"2561403010125"</f>
        <v>2561403010125</v>
      </c>
      <c r="C2794" s="8" t="s">
        <v>9</v>
      </c>
      <c r="D2794" s="9">
        <v>53.44</v>
      </c>
      <c r="E2794" s="8">
        <v>38</v>
      </c>
    </row>
    <row r="2795" s="3" customFormat="1" ht="18.75" spans="1:5">
      <c r="A2795" s="8" t="str">
        <f t="shared" si="49"/>
        <v>250014</v>
      </c>
      <c r="B2795" s="8" t="str">
        <f>"2561403010311"</f>
        <v>2561403010311</v>
      </c>
      <c r="C2795" s="8" t="s">
        <v>9</v>
      </c>
      <c r="D2795" s="9">
        <v>52.64</v>
      </c>
      <c r="E2795" s="8">
        <v>39</v>
      </c>
    </row>
    <row r="2796" s="3" customFormat="1" ht="18.75" spans="1:5">
      <c r="A2796" s="8" t="str">
        <f t="shared" si="49"/>
        <v>250014</v>
      </c>
      <c r="B2796" s="8" t="str">
        <f>"2561403010325"</f>
        <v>2561403010325</v>
      </c>
      <c r="C2796" s="8" t="s">
        <v>9</v>
      </c>
      <c r="D2796" s="9">
        <v>52.64</v>
      </c>
      <c r="E2796" s="8">
        <v>39</v>
      </c>
    </row>
    <row r="2797" s="3" customFormat="1" ht="18.75" spans="1:5">
      <c r="A2797" s="8" t="str">
        <f t="shared" si="49"/>
        <v>250014</v>
      </c>
      <c r="B2797" s="8" t="str">
        <f>"2561403010114"</f>
        <v>2561403010114</v>
      </c>
      <c r="C2797" s="8" t="s">
        <v>9</v>
      </c>
      <c r="D2797" s="9">
        <v>51.92</v>
      </c>
      <c r="E2797" s="8">
        <v>41</v>
      </c>
    </row>
    <row r="2798" s="3" customFormat="1" ht="18.75" spans="1:5">
      <c r="A2798" s="8" t="str">
        <f t="shared" si="49"/>
        <v>250014</v>
      </c>
      <c r="B2798" s="8" t="str">
        <f>"2561403010216"</f>
        <v>2561403010216</v>
      </c>
      <c r="C2798" s="8" t="s">
        <v>9</v>
      </c>
      <c r="D2798" s="9">
        <v>51.92</v>
      </c>
      <c r="E2798" s="8">
        <v>41</v>
      </c>
    </row>
    <row r="2799" s="3" customFormat="1" ht="18.75" spans="1:5">
      <c r="A2799" s="8" t="str">
        <f t="shared" si="49"/>
        <v>250014</v>
      </c>
      <c r="B2799" s="8" t="str">
        <f>"2561403010312"</f>
        <v>2561403010312</v>
      </c>
      <c r="C2799" s="8" t="s">
        <v>9</v>
      </c>
      <c r="D2799" s="9">
        <v>51.75</v>
      </c>
      <c r="E2799" s="8">
        <v>43</v>
      </c>
    </row>
    <row r="2800" s="3" customFormat="1" ht="18.75" spans="1:5">
      <c r="A2800" s="8" t="str">
        <f t="shared" si="49"/>
        <v>250014</v>
      </c>
      <c r="B2800" s="8" t="str">
        <f>"2561403010128"</f>
        <v>2561403010128</v>
      </c>
      <c r="C2800" s="8" t="s">
        <v>9</v>
      </c>
      <c r="D2800" s="9">
        <v>51.64</v>
      </c>
      <c r="E2800" s="8">
        <v>44</v>
      </c>
    </row>
    <row r="2801" s="3" customFormat="1" ht="18.75" spans="1:5">
      <c r="A2801" s="8" t="str">
        <f t="shared" si="49"/>
        <v>250014</v>
      </c>
      <c r="B2801" s="8" t="str">
        <f>"2561403010318"</f>
        <v>2561403010318</v>
      </c>
      <c r="C2801" s="8" t="s">
        <v>9</v>
      </c>
      <c r="D2801" s="9">
        <v>51.62</v>
      </c>
      <c r="E2801" s="8">
        <v>45</v>
      </c>
    </row>
    <row r="2802" s="3" customFormat="1" ht="18.75" spans="1:5">
      <c r="A2802" s="8" t="str">
        <f t="shared" si="49"/>
        <v>250014</v>
      </c>
      <c r="B2802" s="8" t="str">
        <f>"2561403010115"</f>
        <v>2561403010115</v>
      </c>
      <c r="C2802" s="8" t="s">
        <v>9</v>
      </c>
      <c r="D2802" s="9">
        <v>51.2</v>
      </c>
      <c r="E2802" s="8">
        <v>46</v>
      </c>
    </row>
    <row r="2803" s="3" customFormat="1" ht="18.75" spans="1:5">
      <c r="A2803" s="8" t="str">
        <f t="shared" si="49"/>
        <v>250014</v>
      </c>
      <c r="B2803" s="8" t="str">
        <f>"2561403010222"</f>
        <v>2561403010222</v>
      </c>
      <c r="C2803" s="8" t="s">
        <v>9</v>
      </c>
      <c r="D2803" s="9">
        <v>50.54</v>
      </c>
      <c r="E2803" s="8">
        <v>47</v>
      </c>
    </row>
    <row r="2804" s="3" customFormat="1" ht="18.75" spans="1:5">
      <c r="A2804" s="8" t="str">
        <f t="shared" si="49"/>
        <v>250014</v>
      </c>
      <c r="B2804" s="8" t="str">
        <f>"2561403010127"</f>
        <v>2561403010127</v>
      </c>
      <c r="C2804" s="8" t="s">
        <v>9</v>
      </c>
      <c r="D2804" s="9">
        <v>50.41</v>
      </c>
      <c r="E2804" s="8">
        <v>48</v>
      </c>
    </row>
    <row r="2805" s="3" customFormat="1" ht="18.75" spans="1:5">
      <c r="A2805" s="8" t="str">
        <f t="shared" si="49"/>
        <v>250014</v>
      </c>
      <c r="B2805" s="8" t="str">
        <f>"2561403010304"</f>
        <v>2561403010304</v>
      </c>
      <c r="C2805" s="8" t="s">
        <v>9</v>
      </c>
      <c r="D2805" s="9">
        <v>50.34</v>
      </c>
      <c r="E2805" s="8">
        <v>49</v>
      </c>
    </row>
    <row r="2806" s="3" customFormat="1" ht="18.75" spans="1:5">
      <c r="A2806" s="8" t="str">
        <f t="shared" si="49"/>
        <v>250014</v>
      </c>
      <c r="B2806" s="8" t="str">
        <f>"2561403010319"</f>
        <v>2561403010319</v>
      </c>
      <c r="C2806" s="8" t="s">
        <v>9</v>
      </c>
      <c r="D2806" s="9">
        <v>49.64</v>
      </c>
      <c r="E2806" s="8">
        <v>50</v>
      </c>
    </row>
    <row r="2807" s="3" customFormat="1" ht="18.75" spans="1:5">
      <c r="A2807" s="8" t="str">
        <f t="shared" si="49"/>
        <v>250014</v>
      </c>
      <c r="B2807" s="8" t="str">
        <f>"2561403010219"</f>
        <v>2561403010219</v>
      </c>
      <c r="C2807" s="8" t="s">
        <v>9</v>
      </c>
      <c r="D2807" s="9">
        <v>49.58</v>
      </c>
      <c r="E2807" s="8">
        <v>51</v>
      </c>
    </row>
    <row r="2808" s="3" customFormat="1" ht="18.75" spans="1:5">
      <c r="A2808" s="8" t="str">
        <f t="shared" si="49"/>
        <v>250014</v>
      </c>
      <c r="B2808" s="8" t="str">
        <f>"2561403010306"</f>
        <v>2561403010306</v>
      </c>
      <c r="C2808" s="8" t="s">
        <v>9</v>
      </c>
      <c r="D2808" s="9">
        <v>48.88</v>
      </c>
      <c r="E2808" s="8">
        <v>52</v>
      </c>
    </row>
    <row r="2809" s="3" customFormat="1" ht="18.75" spans="1:5">
      <c r="A2809" s="8" t="str">
        <f t="shared" si="49"/>
        <v>250014</v>
      </c>
      <c r="B2809" s="8" t="str">
        <f>"2561403010207"</f>
        <v>2561403010207</v>
      </c>
      <c r="C2809" s="8" t="s">
        <v>9</v>
      </c>
      <c r="D2809" s="9">
        <v>48.62</v>
      </c>
      <c r="E2809" s="8">
        <v>53</v>
      </c>
    </row>
    <row r="2810" s="3" customFormat="1" ht="18.75" spans="1:5">
      <c r="A2810" s="8" t="str">
        <f t="shared" si="49"/>
        <v>250014</v>
      </c>
      <c r="B2810" s="8" t="str">
        <f>"2561403010108"</f>
        <v>2561403010108</v>
      </c>
      <c r="C2810" s="8" t="s">
        <v>9</v>
      </c>
      <c r="D2810" s="9">
        <v>47.26</v>
      </c>
      <c r="E2810" s="8">
        <v>54</v>
      </c>
    </row>
    <row r="2811" s="3" customFormat="1" ht="18.75" spans="1:5">
      <c r="A2811" s="8" t="str">
        <f t="shared" si="49"/>
        <v>250014</v>
      </c>
      <c r="B2811" s="8" t="str">
        <f>"2561403010330"</f>
        <v>2561403010330</v>
      </c>
      <c r="C2811" s="8" t="s">
        <v>9</v>
      </c>
      <c r="D2811" s="9">
        <v>47.03</v>
      </c>
      <c r="E2811" s="8">
        <v>55</v>
      </c>
    </row>
    <row r="2812" s="3" customFormat="1" ht="18.75" spans="1:5">
      <c r="A2812" s="8" t="str">
        <f t="shared" si="49"/>
        <v>250014</v>
      </c>
      <c r="B2812" s="8" t="str">
        <f>"2561403010329"</f>
        <v>2561403010329</v>
      </c>
      <c r="C2812" s="8" t="s">
        <v>9</v>
      </c>
      <c r="D2812" s="9">
        <v>46.54</v>
      </c>
      <c r="E2812" s="8">
        <v>56</v>
      </c>
    </row>
    <row r="2813" s="3" customFormat="1" ht="18.75" spans="1:5">
      <c r="A2813" s="8" t="str">
        <f t="shared" si="49"/>
        <v>250014</v>
      </c>
      <c r="B2813" s="8" t="str">
        <f>"2561403010327"</f>
        <v>2561403010327</v>
      </c>
      <c r="C2813" s="8" t="s">
        <v>9</v>
      </c>
      <c r="D2813" s="9">
        <v>45.66</v>
      </c>
      <c r="E2813" s="8">
        <v>57</v>
      </c>
    </row>
    <row r="2814" s="3" customFormat="1" ht="18.75" spans="1:5">
      <c r="A2814" s="8" t="str">
        <f t="shared" si="49"/>
        <v>250014</v>
      </c>
      <c r="B2814" s="8" t="str">
        <f>"2561403010303"</f>
        <v>2561403010303</v>
      </c>
      <c r="C2814" s="8" t="s">
        <v>9</v>
      </c>
      <c r="D2814" s="9">
        <v>44.22</v>
      </c>
      <c r="E2814" s="8">
        <v>58</v>
      </c>
    </row>
    <row r="2815" s="3" customFormat="1" ht="18.75" spans="1:5">
      <c r="A2815" s="8" t="str">
        <f t="shared" si="49"/>
        <v>250014</v>
      </c>
      <c r="B2815" s="8" t="str">
        <f>"2561403010404"</f>
        <v>2561403010404</v>
      </c>
      <c r="C2815" s="8" t="s">
        <v>9</v>
      </c>
      <c r="D2815" s="9">
        <v>41.58</v>
      </c>
      <c r="E2815" s="8">
        <v>59</v>
      </c>
    </row>
    <row r="2816" s="3" customFormat="1" ht="18.75" spans="1:5">
      <c r="A2816" s="8" t="str">
        <f t="shared" si="49"/>
        <v>250014</v>
      </c>
      <c r="B2816" s="8" t="str">
        <f>"2561403010217"</f>
        <v>2561403010217</v>
      </c>
      <c r="C2816" s="8" t="s">
        <v>9</v>
      </c>
      <c r="D2816" s="9">
        <v>39.85</v>
      </c>
      <c r="E2816" s="8">
        <v>60</v>
      </c>
    </row>
    <row r="2817" s="3" customFormat="1" ht="18.75" spans="1:5">
      <c r="A2817" s="8" t="str">
        <f t="shared" si="49"/>
        <v>250014</v>
      </c>
      <c r="B2817" s="8" t="str">
        <f>"2561403010314"</f>
        <v>2561403010314</v>
      </c>
      <c r="C2817" s="8" t="s">
        <v>9</v>
      </c>
      <c r="D2817" s="9">
        <v>38.79</v>
      </c>
      <c r="E2817" s="8">
        <v>61</v>
      </c>
    </row>
    <row r="2818" s="3" customFormat="1" ht="18.75" spans="1:5">
      <c r="A2818" s="8" t="str">
        <f t="shared" si="49"/>
        <v>250014</v>
      </c>
      <c r="B2818" s="8" t="str">
        <f>"2561403010113"</f>
        <v>2561403010113</v>
      </c>
      <c r="C2818" s="8" t="s">
        <v>9</v>
      </c>
      <c r="D2818" s="9">
        <v>33.42</v>
      </c>
      <c r="E2818" s="8">
        <v>62</v>
      </c>
    </row>
    <row r="2819" s="3" customFormat="1" ht="18.75" spans="1:5">
      <c r="A2819" s="8" t="str">
        <f t="shared" si="49"/>
        <v>250014</v>
      </c>
      <c r="B2819" s="8" t="str">
        <f>"2561403010310"</f>
        <v>2561403010310</v>
      </c>
      <c r="C2819" s="8" t="s">
        <v>9</v>
      </c>
      <c r="D2819" s="9">
        <v>33.34</v>
      </c>
      <c r="E2819" s="8">
        <v>63</v>
      </c>
    </row>
    <row r="2820" s="3" customFormat="1" ht="18.75" spans="1:5">
      <c r="A2820" s="8" t="str">
        <f t="shared" si="49"/>
        <v>250014</v>
      </c>
      <c r="B2820" s="8" t="str">
        <f>"2561403010107"</f>
        <v>2561403010107</v>
      </c>
      <c r="C2820" s="8" t="s">
        <v>9</v>
      </c>
      <c r="D2820" s="9">
        <v>27.39</v>
      </c>
      <c r="E2820" s="8">
        <v>64</v>
      </c>
    </row>
    <row r="2821" s="3" customFormat="1" ht="18.75" spans="1:5">
      <c r="A2821" s="8" t="str">
        <f t="shared" ref="A2821:A2850" si="50">"250014"</f>
        <v>250014</v>
      </c>
      <c r="B2821" s="8" t="str">
        <f>"2561403010103"</f>
        <v>2561403010103</v>
      </c>
      <c r="C2821" s="8" t="s">
        <v>9</v>
      </c>
      <c r="D2821" s="9">
        <v>26.86</v>
      </c>
      <c r="E2821" s="8">
        <v>65</v>
      </c>
    </row>
    <row r="2822" s="3" customFormat="1" ht="18.75" spans="1:5">
      <c r="A2822" s="8" t="str">
        <f t="shared" si="50"/>
        <v>250014</v>
      </c>
      <c r="B2822" s="8" t="str">
        <f>"2561403010101"</f>
        <v>2561403010101</v>
      </c>
      <c r="C2822" s="8" t="s">
        <v>9</v>
      </c>
      <c r="D2822" s="9">
        <v>0</v>
      </c>
      <c r="E2822" s="8">
        <v>66</v>
      </c>
    </row>
    <row r="2823" s="3" customFormat="1" ht="18.75" spans="1:5">
      <c r="A2823" s="8" t="str">
        <f t="shared" si="50"/>
        <v>250014</v>
      </c>
      <c r="B2823" s="8" t="str">
        <f>"2561403010102"</f>
        <v>2561403010102</v>
      </c>
      <c r="C2823" s="8" t="s">
        <v>9</v>
      </c>
      <c r="D2823" s="9">
        <v>0</v>
      </c>
      <c r="E2823" s="8">
        <v>66</v>
      </c>
    </row>
    <row r="2824" s="3" customFormat="1" ht="18.75" spans="1:5">
      <c r="A2824" s="8" t="str">
        <f t="shared" si="50"/>
        <v>250014</v>
      </c>
      <c r="B2824" s="8" t="str">
        <f>"2561403010104"</f>
        <v>2561403010104</v>
      </c>
      <c r="C2824" s="8" t="s">
        <v>9</v>
      </c>
      <c r="D2824" s="9">
        <v>0</v>
      </c>
      <c r="E2824" s="8">
        <v>66</v>
      </c>
    </row>
    <row r="2825" s="3" customFormat="1" ht="18.75" spans="1:5">
      <c r="A2825" s="8" t="str">
        <f t="shared" si="50"/>
        <v>250014</v>
      </c>
      <c r="B2825" s="8" t="str">
        <f>"2561403010109"</f>
        <v>2561403010109</v>
      </c>
      <c r="C2825" s="8" t="s">
        <v>9</v>
      </c>
      <c r="D2825" s="9">
        <v>0</v>
      </c>
      <c r="E2825" s="8">
        <v>66</v>
      </c>
    </row>
    <row r="2826" s="3" customFormat="1" ht="18.75" spans="1:5">
      <c r="A2826" s="8" t="str">
        <f t="shared" si="50"/>
        <v>250014</v>
      </c>
      <c r="B2826" s="8" t="str">
        <f>"2561403010111"</f>
        <v>2561403010111</v>
      </c>
      <c r="C2826" s="8" t="s">
        <v>9</v>
      </c>
      <c r="D2826" s="9">
        <v>0</v>
      </c>
      <c r="E2826" s="8">
        <v>66</v>
      </c>
    </row>
    <row r="2827" s="3" customFormat="1" ht="18.75" spans="1:5">
      <c r="A2827" s="8" t="str">
        <f t="shared" si="50"/>
        <v>250014</v>
      </c>
      <c r="B2827" s="8" t="str">
        <f>"2561403010122"</f>
        <v>2561403010122</v>
      </c>
      <c r="C2827" s="8" t="s">
        <v>9</v>
      </c>
      <c r="D2827" s="9">
        <v>0</v>
      </c>
      <c r="E2827" s="8">
        <v>66</v>
      </c>
    </row>
    <row r="2828" s="3" customFormat="1" ht="18.75" spans="1:5">
      <c r="A2828" s="8" t="str">
        <f t="shared" si="50"/>
        <v>250014</v>
      </c>
      <c r="B2828" s="8" t="str">
        <f>"2561403010124"</f>
        <v>2561403010124</v>
      </c>
      <c r="C2828" s="8" t="s">
        <v>9</v>
      </c>
      <c r="D2828" s="9">
        <v>0</v>
      </c>
      <c r="E2828" s="8">
        <v>66</v>
      </c>
    </row>
    <row r="2829" s="3" customFormat="1" ht="18.75" spans="1:5">
      <c r="A2829" s="8" t="str">
        <f t="shared" si="50"/>
        <v>250014</v>
      </c>
      <c r="B2829" s="8" t="str">
        <f>"2561403010126"</f>
        <v>2561403010126</v>
      </c>
      <c r="C2829" s="8" t="s">
        <v>9</v>
      </c>
      <c r="D2829" s="9">
        <v>0</v>
      </c>
      <c r="E2829" s="8">
        <v>66</v>
      </c>
    </row>
    <row r="2830" s="3" customFormat="1" ht="18.75" spans="1:5">
      <c r="A2830" s="8" t="str">
        <f t="shared" si="50"/>
        <v>250014</v>
      </c>
      <c r="B2830" s="8" t="str">
        <f>"2561403010130"</f>
        <v>2561403010130</v>
      </c>
      <c r="C2830" s="8" t="s">
        <v>9</v>
      </c>
      <c r="D2830" s="9">
        <v>0</v>
      </c>
      <c r="E2830" s="8">
        <v>66</v>
      </c>
    </row>
    <row r="2831" s="3" customFormat="1" ht="18.75" spans="1:5">
      <c r="A2831" s="8" t="str">
        <f t="shared" si="50"/>
        <v>250014</v>
      </c>
      <c r="B2831" s="8" t="str">
        <f>"2561403010201"</f>
        <v>2561403010201</v>
      </c>
      <c r="C2831" s="8" t="s">
        <v>9</v>
      </c>
      <c r="D2831" s="9">
        <v>0</v>
      </c>
      <c r="E2831" s="8">
        <v>66</v>
      </c>
    </row>
    <row r="2832" s="3" customFormat="1" ht="18.75" spans="1:5">
      <c r="A2832" s="8" t="str">
        <f t="shared" si="50"/>
        <v>250014</v>
      </c>
      <c r="B2832" s="8" t="str">
        <f>"2561403010203"</f>
        <v>2561403010203</v>
      </c>
      <c r="C2832" s="8" t="s">
        <v>9</v>
      </c>
      <c r="D2832" s="9">
        <v>0</v>
      </c>
      <c r="E2832" s="8">
        <v>66</v>
      </c>
    </row>
    <row r="2833" s="3" customFormat="1" ht="18.75" spans="1:5">
      <c r="A2833" s="8" t="str">
        <f t="shared" si="50"/>
        <v>250014</v>
      </c>
      <c r="B2833" s="8" t="str">
        <f>"2561403010204"</f>
        <v>2561403010204</v>
      </c>
      <c r="C2833" s="8" t="s">
        <v>9</v>
      </c>
      <c r="D2833" s="9">
        <v>0</v>
      </c>
      <c r="E2833" s="8">
        <v>66</v>
      </c>
    </row>
    <row r="2834" s="3" customFormat="1" ht="18.75" spans="1:5">
      <c r="A2834" s="8" t="str">
        <f t="shared" si="50"/>
        <v>250014</v>
      </c>
      <c r="B2834" s="8" t="str">
        <f>"2561403010206"</f>
        <v>2561403010206</v>
      </c>
      <c r="C2834" s="8" t="s">
        <v>9</v>
      </c>
      <c r="D2834" s="9">
        <v>0</v>
      </c>
      <c r="E2834" s="8">
        <v>66</v>
      </c>
    </row>
    <row r="2835" s="3" customFormat="1" ht="18.75" spans="1:5">
      <c r="A2835" s="8" t="str">
        <f t="shared" si="50"/>
        <v>250014</v>
      </c>
      <c r="B2835" s="8" t="str">
        <f>"2561403010208"</f>
        <v>2561403010208</v>
      </c>
      <c r="C2835" s="8" t="s">
        <v>9</v>
      </c>
      <c r="D2835" s="9">
        <v>0</v>
      </c>
      <c r="E2835" s="8">
        <v>66</v>
      </c>
    </row>
    <row r="2836" s="3" customFormat="1" ht="18.75" spans="1:5">
      <c r="A2836" s="8" t="str">
        <f t="shared" si="50"/>
        <v>250014</v>
      </c>
      <c r="B2836" s="8" t="str">
        <f>"2561403010213"</f>
        <v>2561403010213</v>
      </c>
      <c r="C2836" s="8" t="s">
        <v>9</v>
      </c>
      <c r="D2836" s="9">
        <v>0</v>
      </c>
      <c r="E2836" s="8">
        <v>66</v>
      </c>
    </row>
    <row r="2837" s="3" customFormat="1" ht="18.75" spans="1:5">
      <c r="A2837" s="8" t="str">
        <f t="shared" si="50"/>
        <v>250014</v>
      </c>
      <c r="B2837" s="8" t="str">
        <f>"2561403010218"</f>
        <v>2561403010218</v>
      </c>
      <c r="C2837" s="8" t="s">
        <v>9</v>
      </c>
      <c r="D2837" s="9">
        <v>0</v>
      </c>
      <c r="E2837" s="8">
        <v>66</v>
      </c>
    </row>
    <row r="2838" s="3" customFormat="1" ht="18.75" spans="1:5">
      <c r="A2838" s="8" t="str">
        <f t="shared" si="50"/>
        <v>250014</v>
      </c>
      <c r="B2838" s="8" t="str">
        <f>"2561403010220"</f>
        <v>2561403010220</v>
      </c>
      <c r="C2838" s="8" t="s">
        <v>9</v>
      </c>
      <c r="D2838" s="9">
        <v>0</v>
      </c>
      <c r="E2838" s="8">
        <v>66</v>
      </c>
    </row>
    <row r="2839" s="3" customFormat="1" ht="18.75" spans="1:5">
      <c r="A2839" s="8" t="str">
        <f t="shared" si="50"/>
        <v>250014</v>
      </c>
      <c r="B2839" s="8" t="str">
        <f>"2561403010223"</f>
        <v>2561403010223</v>
      </c>
      <c r="C2839" s="8" t="s">
        <v>9</v>
      </c>
      <c r="D2839" s="9">
        <v>0</v>
      </c>
      <c r="E2839" s="8">
        <v>66</v>
      </c>
    </row>
    <row r="2840" s="3" customFormat="1" ht="18.75" spans="1:5">
      <c r="A2840" s="8" t="str">
        <f t="shared" si="50"/>
        <v>250014</v>
      </c>
      <c r="B2840" s="8" t="str">
        <f>"2561403010225"</f>
        <v>2561403010225</v>
      </c>
      <c r="C2840" s="8" t="s">
        <v>9</v>
      </c>
      <c r="D2840" s="9">
        <v>0</v>
      </c>
      <c r="E2840" s="8">
        <v>66</v>
      </c>
    </row>
    <row r="2841" s="3" customFormat="1" ht="18.75" spans="1:5">
      <c r="A2841" s="8" t="str">
        <f t="shared" si="50"/>
        <v>250014</v>
      </c>
      <c r="B2841" s="8" t="str">
        <f>"2561403010227"</f>
        <v>2561403010227</v>
      </c>
      <c r="C2841" s="8" t="s">
        <v>9</v>
      </c>
      <c r="D2841" s="9">
        <v>0</v>
      </c>
      <c r="E2841" s="8">
        <v>66</v>
      </c>
    </row>
    <row r="2842" s="3" customFormat="1" ht="18.75" spans="1:5">
      <c r="A2842" s="8" t="str">
        <f t="shared" si="50"/>
        <v>250014</v>
      </c>
      <c r="B2842" s="8" t="str">
        <f>"2561403010228"</f>
        <v>2561403010228</v>
      </c>
      <c r="C2842" s="8" t="s">
        <v>9</v>
      </c>
      <c r="D2842" s="9">
        <v>0</v>
      </c>
      <c r="E2842" s="8">
        <v>66</v>
      </c>
    </row>
    <row r="2843" s="3" customFormat="1" ht="18.75" spans="1:5">
      <c r="A2843" s="8" t="str">
        <f t="shared" si="50"/>
        <v>250014</v>
      </c>
      <c r="B2843" s="8" t="str">
        <f>"2561403010301"</f>
        <v>2561403010301</v>
      </c>
      <c r="C2843" s="8" t="s">
        <v>9</v>
      </c>
      <c r="D2843" s="9">
        <v>0</v>
      </c>
      <c r="E2843" s="8">
        <v>66</v>
      </c>
    </row>
    <row r="2844" s="3" customFormat="1" ht="18.75" spans="1:5">
      <c r="A2844" s="8" t="str">
        <f t="shared" si="50"/>
        <v>250014</v>
      </c>
      <c r="B2844" s="8" t="str">
        <f>"2561403010313"</f>
        <v>2561403010313</v>
      </c>
      <c r="C2844" s="8" t="s">
        <v>9</v>
      </c>
      <c r="D2844" s="9">
        <v>0</v>
      </c>
      <c r="E2844" s="8">
        <v>66</v>
      </c>
    </row>
    <row r="2845" s="3" customFormat="1" ht="18.75" spans="1:5">
      <c r="A2845" s="8" t="str">
        <f t="shared" si="50"/>
        <v>250014</v>
      </c>
      <c r="B2845" s="8" t="str">
        <f>"2561403010315"</f>
        <v>2561403010315</v>
      </c>
      <c r="C2845" s="8" t="s">
        <v>9</v>
      </c>
      <c r="D2845" s="9">
        <v>0</v>
      </c>
      <c r="E2845" s="8">
        <v>66</v>
      </c>
    </row>
    <row r="2846" s="3" customFormat="1" ht="18.75" spans="1:5">
      <c r="A2846" s="8" t="str">
        <f t="shared" si="50"/>
        <v>250014</v>
      </c>
      <c r="B2846" s="8" t="str">
        <f>"2561403010316"</f>
        <v>2561403010316</v>
      </c>
      <c r="C2846" s="8" t="s">
        <v>9</v>
      </c>
      <c r="D2846" s="9">
        <v>0</v>
      </c>
      <c r="E2846" s="8">
        <v>66</v>
      </c>
    </row>
    <row r="2847" s="3" customFormat="1" ht="18.75" spans="1:5">
      <c r="A2847" s="8" t="str">
        <f t="shared" si="50"/>
        <v>250014</v>
      </c>
      <c r="B2847" s="8" t="str">
        <f>"2561403010321"</f>
        <v>2561403010321</v>
      </c>
      <c r="C2847" s="8" t="s">
        <v>9</v>
      </c>
      <c r="D2847" s="9">
        <v>0</v>
      </c>
      <c r="E2847" s="8">
        <v>66</v>
      </c>
    </row>
    <row r="2848" s="3" customFormat="1" ht="18.75" spans="1:5">
      <c r="A2848" s="8" t="str">
        <f t="shared" si="50"/>
        <v>250014</v>
      </c>
      <c r="B2848" s="8" t="str">
        <f>"2561403010322"</f>
        <v>2561403010322</v>
      </c>
      <c r="C2848" s="8" t="s">
        <v>9</v>
      </c>
      <c r="D2848" s="9">
        <v>0</v>
      </c>
      <c r="E2848" s="8">
        <v>66</v>
      </c>
    </row>
    <row r="2849" s="3" customFormat="1" ht="18.75" spans="1:5">
      <c r="A2849" s="8" t="str">
        <f t="shared" si="50"/>
        <v>250014</v>
      </c>
      <c r="B2849" s="8" t="str">
        <f>"2561403010401"</f>
        <v>2561403010401</v>
      </c>
      <c r="C2849" s="8" t="s">
        <v>9</v>
      </c>
      <c r="D2849" s="9">
        <v>0</v>
      </c>
      <c r="E2849" s="8">
        <v>66</v>
      </c>
    </row>
    <row r="2850" s="3" customFormat="1" ht="18.75" spans="1:5">
      <c r="A2850" s="8" t="str">
        <f t="shared" si="50"/>
        <v>250014</v>
      </c>
      <c r="B2850" s="8" t="str">
        <f>"2561403010403"</f>
        <v>2561403010403</v>
      </c>
      <c r="C2850" s="8" t="s">
        <v>9</v>
      </c>
      <c r="D2850" s="9">
        <v>0</v>
      </c>
      <c r="E2850" s="8">
        <v>66</v>
      </c>
    </row>
    <row r="2851" s="3" customFormat="1" ht="18.75" spans="1:5">
      <c r="A2851" s="8" t="str">
        <f t="shared" ref="A2851:A2884" si="51">"250015"</f>
        <v>250015</v>
      </c>
      <c r="B2851" s="8" t="str">
        <f>"2561403010508"</f>
        <v>2561403010508</v>
      </c>
      <c r="C2851" s="8" t="s">
        <v>9</v>
      </c>
      <c r="D2851" s="9">
        <v>67.4</v>
      </c>
      <c r="E2851" s="8">
        <v>1</v>
      </c>
    </row>
    <row r="2852" s="3" customFormat="1" ht="18.75" spans="1:5">
      <c r="A2852" s="8" t="str">
        <f t="shared" si="51"/>
        <v>250015</v>
      </c>
      <c r="B2852" s="8" t="str">
        <f>"2561403010504"</f>
        <v>2561403010504</v>
      </c>
      <c r="C2852" s="8" t="s">
        <v>9</v>
      </c>
      <c r="D2852" s="9">
        <v>63.05</v>
      </c>
      <c r="E2852" s="8">
        <v>2</v>
      </c>
    </row>
    <row r="2853" s="3" customFormat="1" ht="18.75" spans="1:5">
      <c r="A2853" s="8" t="str">
        <f t="shared" si="51"/>
        <v>250015</v>
      </c>
      <c r="B2853" s="8" t="str">
        <f>"2561403010415"</f>
        <v>2561403010415</v>
      </c>
      <c r="C2853" s="8" t="s">
        <v>9</v>
      </c>
      <c r="D2853" s="9">
        <v>62.17</v>
      </c>
      <c r="E2853" s="8">
        <v>3</v>
      </c>
    </row>
    <row r="2854" s="3" customFormat="1" ht="18.75" spans="1:5">
      <c r="A2854" s="8" t="str">
        <f t="shared" si="51"/>
        <v>250015</v>
      </c>
      <c r="B2854" s="8" t="str">
        <f>"2561403010412"</f>
        <v>2561403010412</v>
      </c>
      <c r="C2854" s="8" t="s">
        <v>9</v>
      </c>
      <c r="D2854" s="9">
        <v>60.74</v>
      </c>
      <c r="E2854" s="8">
        <v>4</v>
      </c>
    </row>
    <row r="2855" s="3" customFormat="1" ht="18.75" spans="1:5">
      <c r="A2855" s="8" t="str">
        <f t="shared" si="51"/>
        <v>250015</v>
      </c>
      <c r="B2855" s="8" t="str">
        <f>"2561403010502"</f>
        <v>2561403010502</v>
      </c>
      <c r="C2855" s="8" t="s">
        <v>9</v>
      </c>
      <c r="D2855" s="9">
        <v>60.11</v>
      </c>
      <c r="E2855" s="8">
        <v>5</v>
      </c>
    </row>
    <row r="2856" s="3" customFormat="1" ht="18.75" spans="1:5">
      <c r="A2856" s="8" t="str">
        <f t="shared" si="51"/>
        <v>250015</v>
      </c>
      <c r="B2856" s="8" t="str">
        <f>"2561403010425"</f>
        <v>2561403010425</v>
      </c>
      <c r="C2856" s="8" t="s">
        <v>9</v>
      </c>
      <c r="D2856" s="9">
        <v>60.01</v>
      </c>
      <c r="E2856" s="8">
        <v>6</v>
      </c>
    </row>
    <row r="2857" s="3" customFormat="1" ht="18.75" spans="1:5">
      <c r="A2857" s="8" t="str">
        <f t="shared" si="51"/>
        <v>250015</v>
      </c>
      <c r="B2857" s="8" t="str">
        <f>"2561403010417"</f>
        <v>2561403010417</v>
      </c>
      <c r="C2857" s="8" t="s">
        <v>9</v>
      </c>
      <c r="D2857" s="9">
        <v>59.92</v>
      </c>
      <c r="E2857" s="8">
        <v>7</v>
      </c>
    </row>
    <row r="2858" s="3" customFormat="1" ht="18.75" spans="1:5">
      <c r="A2858" s="8" t="str">
        <f t="shared" si="51"/>
        <v>250015</v>
      </c>
      <c r="B2858" s="8" t="str">
        <f>"2561403010427"</f>
        <v>2561403010427</v>
      </c>
      <c r="C2858" s="8" t="s">
        <v>9</v>
      </c>
      <c r="D2858" s="9">
        <v>58</v>
      </c>
      <c r="E2858" s="8">
        <v>8</v>
      </c>
    </row>
    <row r="2859" s="3" customFormat="1" ht="18.75" spans="1:5">
      <c r="A2859" s="8" t="str">
        <f t="shared" si="51"/>
        <v>250015</v>
      </c>
      <c r="B2859" s="8" t="str">
        <f>"2561403010423"</f>
        <v>2561403010423</v>
      </c>
      <c r="C2859" s="8" t="s">
        <v>9</v>
      </c>
      <c r="D2859" s="9">
        <v>57.01</v>
      </c>
      <c r="E2859" s="8">
        <v>9</v>
      </c>
    </row>
    <row r="2860" s="3" customFormat="1" ht="18.75" spans="1:5">
      <c r="A2860" s="8" t="str">
        <f t="shared" si="51"/>
        <v>250015</v>
      </c>
      <c r="B2860" s="8" t="str">
        <f>"2561403010414"</f>
        <v>2561403010414</v>
      </c>
      <c r="C2860" s="8" t="s">
        <v>9</v>
      </c>
      <c r="D2860" s="9">
        <v>56.75</v>
      </c>
      <c r="E2860" s="8">
        <v>10</v>
      </c>
    </row>
    <row r="2861" s="3" customFormat="1" ht="18.75" spans="1:5">
      <c r="A2861" s="8" t="str">
        <f t="shared" si="51"/>
        <v>250015</v>
      </c>
      <c r="B2861" s="8" t="str">
        <f>"2561403010424"</f>
        <v>2561403010424</v>
      </c>
      <c r="C2861" s="8" t="s">
        <v>9</v>
      </c>
      <c r="D2861" s="9">
        <v>56.42</v>
      </c>
      <c r="E2861" s="8">
        <v>11</v>
      </c>
    </row>
    <row r="2862" s="3" customFormat="1" ht="18.75" spans="1:5">
      <c r="A2862" s="8" t="str">
        <f t="shared" si="51"/>
        <v>250015</v>
      </c>
      <c r="B2862" s="8" t="str">
        <f>"2561403010507"</f>
        <v>2561403010507</v>
      </c>
      <c r="C2862" s="8" t="s">
        <v>9</v>
      </c>
      <c r="D2862" s="9">
        <v>56.21</v>
      </c>
      <c r="E2862" s="8">
        <v>12</v>
      </c>
    </row>
    <row r="2863" s="3" customFormat="1" ht="18.75" spans="1:5">
      <c r="A2863" s="8" t="str">
        <f t="shared" si="51"/>
        <v>250015</v>
      </c>
      <c r="B2863" s="8" t="str">
        <f>"2561403010408"</f>
        <v>2561403010408</v>
      </c>
      <c r="C2863" s="8" t="s">
        <v>9</v>
      </c>
      <c r="D2863" s="9">
        <v>55.56</v>
      </c>
      <c r="E2863" s="8">
        <v>13</v>
      </c>
    </row>
    <row r="2864" s="3" customFormat="1" ht="18.75" spans="1:5">
      <c r="A2864" s="8" t="str">
        <f t="shared" si="51"/>
        <v>250015</v>
      </c>
      <c r="B2864" s="8" t="str">
        <f>"2561403010407"</f>
        <v>2561403010407</v>
      </c>
      <c r="C2864" s="8" t="s">
        <v>9</v>
      </c>
      <c r="D2864" s="9">
        <v>55.42</v>
      </c>
      <c r="E2864" s="8">
        <v>14</v>
      </c>
    </row>
    <row r="2865" s="3" customFormat="1" ht="18.75" spans="1:5">
      <c r="A2865" s="8" t="str">
        <f t="shared" si="51"/>
        <v>250015</v>
      </c>
      <c r="B2865" s="8" t="str">
        <f>"2561403010420"</f>
        <v>2561403010420</v>
      </c>
      <c r="C2865" s="8" t="s">
        <v>9</v>
      </c>
      <c r="D2865" s="9">
        <v>55.2</v>
      </c>
      <c r="E2865" s="8">
        <v>15</v>
      </c>
    </row>
    <row r="2866" s="3" customFormat="1" ht="18.75" spans="1:5">
      <c r="A2866" s="8" t="str">
        <f t="shared" si="51"/>
        <v>250015</v>
      </c>
      <c r="B2866" s="8" t="str">
        <f>"2561403010505"</f>
        <v>2561403010505</v>
      </c>
      <c r="C2866" s="8" t="s">
        <v>9</v>
      </c>
      <c r="D2866" s="9">
        <v>54.78</v>
      </c>
      <c r="E2866" s="8">
        <v>16</v>
      </c>
    </row>
    <row r="2867" s="3" customFormat="1" ht="18.75" spans="1:5">
      <c r="A2867" s="8" t="str">
        <f t="shared" si="51"/>
        <v>250015</v>
      </c>
      <c r="B2867" s="8" t="str">
        <f>"2561403010410"</f>
        <v>2561403010410</v>
      </c>
      <c r="C2867" s="8" t="s">
        <v>9</v>
      </c>
      <c r="D2867" s="9">
        <v>54.72</v>
      </c>
      <c r="E2867" s="8">
        <v>17</v>
      </c>
    </row>
    <row r="2868" s="3" customFormat="1" ht="18.75" spans="1:5">
      <c r="A2868" s="8" t="str">
        <f t="shared" si="51"/>
        <v>250015</v>
      </c>
      <c r="B2868" s="8" t="str">
        <f>"2561403010421"</f>
        <v>2561403010421</v>
      </c>
      <c r="C2868" s="8" t="s">
        <v>9</v>
      </c>
      <c r="D2868" s="9">
        <v>54.24</v>
      </c>
      <c r="E2868" s="8">
        <v>18</v>
      </c>
    </row>
    <row r="2869" s="3" customFormat="1" ht="18.75" spans="1:5">
      <c r="A2869" s="8" t="str">
        <f t="shared" si="51"/>
        <v>250015</v>
      </c>
      <c r="B2869" s="8" t="str">
        <f>"2561403010418"</f>
        <v>2561403010418</v>
      </c>
      <c r="C2869" s="8" t="s">
        <v>9</v>
      </c>
      <c r="D2869" s="9">
        <v>53.43</v>
      </c>
      <c r="E2869" s="8">
        <v>19</v>
      </c>
    </row>
    <row r="2870" s="3" customFormat="1" ht="18.75" spans="1:5">
      <c r="A2870" s="8" t="str">
        <f t="shared" si="51"/>
        <v>250015</v>
      </c>
      <c r="B2870" s="8" t="str">
        <f>"2561403010419"</f>
        <v>2561403010419</v>
      </c>
      <c r="C2870" s="8" t="s">
        <v>9</v>
      </c>
      <c r="D2870" s="9">
        <v>51.7</v>
      </c>
      <c r="E2870" s="8">
        <v>20</v>
      </c>
    </row>
    <row r="2871" s="3" customFormat="1" ht="18.75" spans="1:5">
      <c r="A2871" s="8" t="str">
        <f t="shared" si="51"/>
        <v>250015</v>
      </c>
      <c r="B2871" s="8" t="str">
        <f>"2561403010422"</f>
        <v>2561403010422</v>
      </c>
      <c r="C2871" s="8" t="s">
        <v>9</v>
      </c>
      <c r="D2871" s="9">
        <v>50.1</v>
      </c>
      <c r="E2871" s="8">
        <v>21</v>
      </c>
    </row>
    <row r="2872" s="3" customFormat="1" ht="18.75" spans="1:5">
      <c r="A2872" s="8" t="str">
        <f t="shared" si="51"/>
        <v>250015</v>
      </c>
      <c r="B2872" s="8" t="str">
        <f>"2561403010430"</f>
        <v>2561403010430</v>
      </c>
      <c r="C2872" s="8" t="s">
        <v>9</v>
      </c>
      <c r="D2872" s="9">
        <v>49.61</v>
      </c>
      <c r="E2872" s="8">
        <v>22</v>
      </c>
    </row>
    <row r="2873" s="3" customFormat="1" ht="18.75" spans="1:5">
      <c r="A2873" s="8" t="str">
        <f t="shared" si="51"/>
        <v>250015</v>
      </c>
      <c r="B2873" s="8" t="str">
        <f>"2561403010501"</f>
        <v>2561403010501</v>
      </c>
      <c r="C2873" s="8" t="s">
        <v>9</v>
      </c>
      <c r="D2873" s="9">
        <v>49.22</v>
      </c>
      <c r="E2873" s="8">
        <v>23</v>
      </c>
    </row>
    <row r="2874" s="3" customFormat="1" ht="18.75" spans="1:5">
      <c r="A2874" s="8" t="str">
        <f t="shared" si="51"/>
        <v>250015</v>
      </c>
      <c r="B2874" s="8" t="str">
        <f>"2561403010506"</f>
        <v>2561403010506</v>
      </c>
      <c r="C2874" s="8" t="s">
        <v>9</v>
      </c>
      <c r="D2874" s="9">
        <v>48.11</v>
      </c>
      <c r="E2874" s="8">
        <v>24</v>
      </c>
    </row>
    <row r="2875" s="3" customFormat="1" ht="18.75" spans="1:5">
      <c r="A2875" s="8" t="str">
        <f t="shared" si="51"/>
        <v>250015</v>
      </c>
      <c r="B2875" s="8" t="str">
        <f>"2561403010416"</f>
        <v>2561403010416</v>
      </c>
      <c r="C2875" s="8" t="s">
        <v>9</v>
      </c>
      <c r="D2875" s="9">
        <v>47.81</v>
      </c>
      <c r="E2875" s="8">
        <v>25</v>
      </c>
    </row>
    <row r="2876" s="3" customFormat="1" ht="18.75" spans="1:5">
      <c r="A2876" s="8" t="str">
        <f t="shared" si="51"/>
        <v>250015</v>
      </c>
      <c r="B2876" s="8" t="str">
        <f>"2561403010405"</f>
        <v>2561403010405</v>
      </c>
      <c r="C2876" s="8" t="s">
        <v>9</v>
      </c>
      <c r="D2876" s="9">
        <v>46.91</v>
      </c>
      <c r="E2876" s="8">
        <v>26</v>
      </c>
    </row>
    <row r="2877" s="3" customFormat="1" ht="18.75" spans="1:5">
      <c r="A2877" s="8" t="str">
        <f t="shared" si="51"/>
        <v>250015</v>
      </c>
      <c r="B2877" s="8" t="str">
        <f>"2561403010413"</f>
        <v>2561403010413</v>
      </c>
      <c r="C2877" s="8" t="s">
        <v>9</v>
      </c>
      <c r="D2877" s="9">
        <v>45.72</v>
      </c>
      <c r="E2877" s="8">
        <v>27</v>
      </c>
    </row>
    <row r="2878" s="3" customFormat="1" ht="18.75" spans="1:5">
      <c r="A2878" s="8" t="str">
        <f t="shared" si="51"/>
        <v>250015</v>
      </c>
      <c r="B2878" s="8" t="str">
        <f>"2561403010406"</f>
        <v>2561403010406</v>
      </c>
      <c r="C2878" s="8" t="s">
        <v>9</v>
      </c>
      <c r="D2878" s="9">
        <v>0</v>
      </c>
      <c r="E2878" s="8">
        <v>28</v>
      </c>
    </row>
    <row r="2879" s="3" customFormat="1" ht="18.75" spans="1:5">
      <c r="A2879" s="8" t="str">
        <f t="shared" si="51"/>
        <v>250015</v>
      </c>
      <c r="B2879" s="8" t="str">
        <f>"2561403010409"</f>
        <v>2561403010409</v>
      </c>
      <c r="C2879" s="8" t="s">
        <v>9</v>
      </c>
      <c r="D2879" s="9">
        <v>0</v>
      </c>
      <c r="E2879" s="8">
        <v>28</v>
      </c>
    </row>
    <row r="2880" s="3" customFormat="1" ht="18.75" spans="1:5">
      <c r="A2880" s="8" t="str">
        <f t="shared" si="51"/>
        <v>250015</v>
      </c>
      <c r="B2880" s="8" t="str">
        <f>"2561403010411"</f>
        <v>2561403010411</v>
      </c>
      <c r="C2880" s="8" t="s">
        <v>9</v>
      </c>
      <c r="D2880" s="9">
        <v>0</v>
      </c>
      <c r="E2880" s="8">
        <v>28</v>
      </c>
    </row>
    <row r="2881" s="3" customFormat="1" ht="18.75" spans="1:5">
      <c r="A2881" s="8" t="str">
        <f t="shared" si="51"/>
        <v>250015</v>
      </c>
      <c r="B2881" s="8" t="str">
        <f>"2561403010426"</f>
        <v>2561403010426</v>
      </c>
      <c r="C2881" s="8" t="s">
        <v>9</v>
      </c>
      <c r="D2881" s="9">
        <v>0</v>
      </c>
      <c r="E2881" s="8">
        <v>28</v>
      </c>
    </row>
    <row r="2882" s="3" customFormat="1" ht="18.75" spans="1:5">
      <c r="A2882" s="8" t="str">
        <f t="shared" si="51"/>
        <v>250015</v>
      </c>
      <c r="B2882" s="8" t="str">
        <f>"2561403010428"</f>
        <v>2561403010428</v>
      </c>
      <c r="C2882" s="8" t="s">
        <v>9</v>
      </c>
      <c r="D2882" s="9">
        <v>0</v>
      </c>
      <c r="E2882" s="8">
        <v>28</v>
      </c>
    </row>
    <row r="2883" s="3" customFormat="1" ht="18.75" spans="1:5">
      <c r="A2883" s="8" t="str">
        <f t="shared" si="51"/>
        <v>250015</v>
      </c>
      <c r="B2883" s="8" t="str">
        <f>"2561403010429"</f>
        <v>2561403010429</v>
      </c>
      <c r="C2883" s="8" t="s">
        <v>9</v>
      </c>
      <c r="D2883" s="9">
        <v>0</v>
      </c>
      <c r="E2883" s="8">
        <v>28</v>
      </c>
    </row>
    <row r="2884" s="3" customFormat="1" ht="18.75" spans="1:5">
      <c r="A2884" s="8" t="str">
        <f t="shared" si="51"/>
        <v>250015</v>
      </c>
      <c r="B2884" s="8" t="str">
        <f>"2561403010503"</f>
        <v>2561403010503</v>
      </c>
      <c r="C2884" s="8" t="s">
        <v>9</v>
      </c>
      <c r="D2884" s="9">
        <v>0</v>
      </c>
      <c r="E2884" s="8">
        <v>28</v>
      </c>
    </row>
    <row r="2885" s="3" customFormat="1" ht="18.75" spans="1:5">
      <c r="A2885" s="8" t="str">
        <f t="shared" ref="A2885:A2948" si="52">"250016"</f>
        <v>250016</v>
      </c>
      <c r="B2885" s="8" t="str">
        <f>"2561403010811"</f>
        <v>2561403010811</v>
      </c>
      <c r="C2885" s="8" t="s">
        <v>9</v>
      </c>
      <c r="D2885" s="9">
        <v>74.56</v>
      </c>
      <c r="E2885" s="8">
        <v>1</v>
      </c>
    </row>
    <row r="2886" s="3" customFormat="1" ht="18.75" spans="1:5">
      <c r="A2886" s="8" t="str">
        <f t="shared" si="52"/>
        <v>250016</v>
      </c>
      <c r="B2886" s="8" t="str">
        <f>"2561403011002"</f>
        <v>2561403011002</v>
      </c>
      <c r="C2886" s="8" t="s">
        <v>9</v>
      </c>
      <c r="D2886" s="9">
        <v>72.06</v>
      </c>
      <c r="E2886" s="8">
        <v>2</v>
      </c>
    </row>
    <row r="2887" s="3" customFormat="1" ht="18.75" spans="1:5">
      <c r="A2887" s="8" t="str">
        <f t="shared" si="52"/>
        <v>250016</v>
      </c>
      <c r="B2887" s="8" t="str">
        <f>"2561403010624"</f>
        <v>2561403010624</v>
      </c>
      <c r="C2887" s="8" t="s">
        <v>9</v>
      </c>
      <c r="D2887" s="9">
        <v>67.95</v>
      </c>
      <c r="E2887" s="8">
        <v>3</v>
      </c>
    </row>
    <row r="2888" s="3" customFormat="1" ht="18.75" spans="1:5">
      <c r="A2888" s="8" t="str">
        <f t="shared" si="52"/>
        <v>250016</v>
      </c>
      <c r="B2888" s="8" t="str">
        <f>"2561403010722"</f>
        <v>2561403010722</v>
      </c>
      <c r="C2888" s="8" t="s">
        <v>9</v>
      </c>
      <c r="D2888" s="9">
        <v>67.19</v>
      </c>
      <c r="E2888" s="8">
        <v>4</v>
      </c>
    </row>
    <row r="2889" s="3" customFormat="1" ht="18.75" spans="1:5">
      <c r="A2889" s="8" t="str">
        <f t="shared" si="52"/>
        <v>250016</v>
      </c>
      <c r="B2889" s="8" t="str">
        <f>"2561403011123"</f>
        <v>2561403011123</v>
      </c>
      <c r="C2889" s="8" t="s">
        <v>9</v>
      </c>
      <c r="D2889" s="9">
        <v>66.51</v>
      </c>
      <c r="E2889" s="8">
        <v>5</v>
      </c>
    </row>
    <row r="2890" s="3" customFormat="1" ht="18.75" spans="1:5">
      <c r="A2890" s="8" t="str">
        <f t="shared" si="52"/>
        <v>250016</v>
      </c>
      <c r="B2890" s="8" t="str">
        <f>"2561403011308"</f>
        <v>2561403011308</v>
      </c>
      <c r="C2890" s="8" t="s">
        <v>9</v>
      </c>
      <c r="D2890" s="9">
        <v>66.51</v>
      </c>
      <c r="E2890" s="8">
        <v>5</v>
      </c>
    </row>
    <row r="2891" s="3" customFormat="1" ht="18.75" spans="1:5">
      <c r="A2891" s="8" t="str">
        <f t="shared" si="52"/>
        <v>250016</v>
      </c>
      <c r="B2891" s="8" t="str">
        <f>"2561403011209"</f>
        <v>2561403011209</v>
      </c>
      <c r="C2891" s="8" t="s">
        <v>9</v>
      </c>
      <c r="D2891" s="9">
        <v>66.41</v>
      </c>
      <c r="E2891" s="8">
        <v>7</v>
      </c>
    </row>
    <row r="2892" s="3" customFormat="1" ht="18.75" spans="1:5">
      <c r="A2892" s="8" t="str">
        <f t="shared" si="52"/>
        <v>250016</v>
      </c>
      <c r="B2892" s="8" t="str">
        <f>"2561403010520"</f>
        <v>2561403010520</v>
      </c>
      <c r="C2892" s="8" t="s">
        <v>9</v>
      </c>
      <c r="D2892" s="9">
        <v>66.12</v>
      </c>
      <c r="E2892" s="8">
        <v>8</v>
      </c>
    </row>
    <row r="2893" s="3" customFormat="1" ht="18.75" spans="1:5">
      <c r="A2893" s="8" t="str">
        <f t="shared" si="52"/>
        <v>250016</v>
      </c>
      <c r="B2893" s="8" t="str">
        <f>"2561403011013"</f>
        <v>2561403011013</v>
      </c>
      <c r="C2893" s="8" t="s">
        <v>9</v>
      </c>
      <c r="D2893" s="9">
        <v>65.79</v>
      </c>
      <c r="E2893" s="8">
        <v>9</v>
      </c>
    </row>
    <row r="2894" s="3" customFormat="1" ht="18.75" spans="1:5">
      <c r="A2894" s="8" t="str">
        <f t="shared" si="52"/>
        <v>250016</v>
      </c>
      <c r="B2894" s="8" t="str">
        <f>"2561403011019"</f>
        <v>2561403011019</v>
      </c>
      <c r="C2894" s="8" t="s">
        <v>9</v>
      </c>
      <c r="D2894" s="9">
        <v>65.75</v>
      </c>
      <c r="E2894" s="8">
        <v>10</v>
      </c>
    </row>
    <row r="2895" s="3" customFormat="1" ht="18.75" spans="1:5">
      <c r="A2895" s="8" t="str">
        <f t="shared" si="52"/>
        <v>250016</v>
      </c>
      <c r="B2895" s="8" t="str">
        <f>"2561403011125"</f>
        <v>2561403011125</v>
      </c>
      <c r="C2895" s="8" t="s">
        <v>9</v>
      </c>
      <c r="D2895" s="9">
        <v>65.72</v>
      </c>
      <c r="E2895" s="8">
        <v>11</v>
      </c>
    </row>
    <row r="2896" s="3" customFormat="1" ht="18.75" spans="1:5">
      <c r="A2896" s="8" t="str">
        <f t="shared" si="52"/>
        <v>250016</v>
      </c>
      <c r="B2896" s="8" t="str">
        <f>"2561403011301"</f>
        <v>2561403011301</v>
      </c>
      <c r="C2896" s="8" t="s">
        <v>9</v>
      </c>
      <c r="D2896" s="9">
        <v>65.65</v>
      </c>
      <c r="E2896" s="8">
        <v>12</v>
      </c>
    </row>
    <row r="2897" s="3" customFormat="1" ht="18.75" spans="1:5">
      <c r="A2897" s="8" t="str">
        <f t="shared" si="52"/>
        <v>250016</v>
      </c>
      <c r="B2897" s="8" t="str">
        <f>"2561403011113"</f>
        <v>2561403011113</v>
      </c>
      <c r="C2897" s="8" t="s">
        <v>9</v>
      </c>
      <c r="D2897" s="9">
        <v>65.13</v>
      </c>
      <c r="E2897" s="8">
        <v>13</v>
      </c>
    </row>
    <row r="2898" s="3" customFormat="1" ht="18.75" spans="1:5">
      <c r="A2898" s="8" t="str">
        <f t="shared" si="52"/>
        <v>250016</v>
      </c>
      <c r="B2898" s="8" t="str">
        <f>"2561403011128"</f>
        <v>2561403011128</v>
      </c>
      <c r="C2898" s="8" t="s">
        <v>9</v>
      </c>
      <c r="D2898" s="9">
        <v>64.75</v>
      </c>
      <c r="E2898" s="8">
        <v>14</v>
      </c>
    </row>
    <row r="2899" s="3" customFormat="1" ht="18.75" spans="1:5">
      <c r="A2899" s="8" t="str">
        <f t="shared" si="52"/>
        <v>250016</v>
      </c>
      <c r="B2899" s="8" t="str">
        <f>"2561403010729"</f>
        <v>2561403010729</v>
      </c>
      <c r="C2899" s="8" t="s">
        <v>9</v>
      </c>
      <c r="D2899" s="9">
        <v>64.74</v>
      </c>
      <c r="E2899" s="8">
        <v>15</v>
      </c>
    </row>
    <row r="2900" s="3" customFormat="1" ht="18.75" spans="1:5">
      <c r="A2900" s="8" t="str">
        <f t="shared" si="52"/>
        <v>250016</v>
      </c>
      <c r="B2900" s="8" t="str">
        <f>"2561403010725"</f>
        <v>2561403010725</v>
      </c>
      <c r="C2900" s="8" t="s">
        <v>9</v>
      </c>
      <c r="D2900" s="9">
        <v>64.5</v>
      </c>
      <c r="E2900" s="8">
        <v>16</v>
      </c>
    </row>
    <row r="2901" s="3" customFormat="1" ht="18.75" spans="1:5">
      <c r="A2901" s="8" t="str">
        <f t="shared" si="52"/>
        <v>250016</v>
      </c>
      <c r="B2901" s="8" t="str">
        <f>"2561403011012"</f>
        <v>2561403011012</v>
      </c>
      <c r="C2901" s="8" t="s">
        <v>9</v>
      </c>
      <c r="D2901" s="9">
        <v>64.24</v>
      </c>
      <c r="E2901" s="8">
        <v>17</v>
      </c>
    </row>
    <row r="2902" s="3" customFormat="1" ht="18.75" spans="1:5">
      <c r="A2902" s="8" t="str">
        <f t="shared" si="52"/>
        <v>250016</v>
      </c>
      <c r="B2902" s="8" t="str">
        <f>"2561403011221"</f>
        <v>2561403011221</v>
      </c>
      <c r="C2902" s="8" t="s">
        <v>9</v>
      </c>
      <c r="D2902" s="9">
        <v>63.5</v>
      </c>
      <c r="E2902" s="8">
        <v>18</v>
      </c>
    </row>
    <row r="2903" s="3" customFormat="1" ht="18.75" spans="1:5">
      <c r="A2903" s="8" t="str">
        <f t="shared" si="52"/>
        <v>250016</v>
      </c>
      <c r="B2903" s="8" t="str">
        <f>"2561403010726"</f>
        <v>2561403010726</v>
      </c>
      <c r="C2903" s="8" t="s">
        <v>9</v>
      </c>
      <c r="D2903" s="9">
        <v>63.36</v>
      </c>
      <c r="E2903" s="8">
        <v>19</v>
      </c>
    </row>
    <row r="2904" s="3" customFormat="1" ht="18.75" spans="1:5">
      <c r="A2904" s="8" t="str">
        <f t="shared" si="52"/>
        <v>250016</v>
      </c>
      <c r="B2904" s="8" t="str">
        <f>"2561403011205"</f>
        <v>2561403011205</v>
      </c>
      <c r="C2904" s="8" t="s">
        <v>9</v>
      </c>
      <c r="D2904" s="9">
        <v>63.24</v>
      </c>
      <c r="E2904" s="8">
        <v>20</v>
      </c>
    </row>
    <row r="2905" s="3" customFormat="1" ht="18.75" spans="1:5">
      <c r="A2905" s="8" t="str">
        <f t="shared" si="52"/>
        <v>250016</v>
      </c>
      <c r="B2905" s="8" t="str">
        <f>"2561403010905"</f>
        <v>2561403010905</v>
      </c>
      <c r="C2905" s="8" t="s">
        <v>9</v>
      </c>
      <c r="D2905" s="9">
        <v>62.99</v>
      </c>
      <c r="E2905" s="8">
        <v>21</v>
      </c>
    </row>
    <row r="2906" s="3" customFormat="1" ht="18.75" spans="1:5">
      <c r="A2906" s="8" t="str">
        <f t="shared" si="52"/>
        <v>250016</v>
      </c>
      <c r="B2906" s="8" t="str">
        <f>"2561403010930"</f>
        <v>2561403010930</v>
      </c>
      <c r="C2906" s="8" t="s">
        <v>9</v>
      </c>
      <c r="D2906" s="9">
        <v>62.88</v>
      </c>
      <c r="E2906" s="8">
        <v>22</v>
      </c>
    </row>
    <row r="2907" s="3" customFormat="1" ht="18.75" spans="1:5">
      <c r="A2907" s="8" t="str">
        <f t="shared" si="52"/>
        <v>250016</v>
      </c>
      <c r="B2907" s="8" t="str">
        <f>"2561403011003"</f>
        <v>2561403011003</v>
      </c>
      <c r="C2907" s="8" t="s">
        <v>9</v>
      </c>
      <c r="D2907" s="9">
        <v>62.79</v>
      </c>
      <c r="E2907" s="8">
        <v>23</v>
      </c>
    </row>
    <row r="2908" s="3" customFormat="1" ht="18.75" spans="1:5">
      <c r="A2908" s="8" t="str">
        <f t="shared" si="52"/>
        <v>250016</v>
      </c>
      <c r="B2908" s="8" t="str">
        <f>"2561403011115"</f>
        <v>2561403011115</v>
      </c>
      <c r="C2908" s="8" t="s">
        <v>9</v>
      </c>
      <c r="D2908" s="9">
        <v>62.38</v>
      </c>
      <c r="E2908" s="8">
        <v>24</v>
      </c>
    </row>
    <row r="2909" s="3" customFormat="1" ht="18.75" spans="1:5">
      <c r="A2909" s="8" t="str">
        <f t="shared" si="52"/>
        <v>250016</v>
      </c>
      <c r="B2909" s="8" t="str">
        <f>"2561403010524"</f>
        <v>2561403010524</v>
      </c>
      <c r="C2909" s="8" t="s">
        <v>9</v>
      </c>
      <c r="D2909" s="9">
        <v>62.25</v>
      </c>
      <c r="E2909" s="8">
        <v>25</v>
      </c>
    </row>
    <row r="2910" s="3" customFormat="1" ht="18.75" spans="1:5">
      <c r="A2910" s="8" t="str">
        <f t="shared" si="52"/>
        <v>250016</v>
      </c>
      <c r="B2910" s="8" t="str">
        <f>"2561403010925"</f>
        <v>2561403010925</v>
      </c>
      <c r="C2910" s="8" t="s">
        <v>9</v>
      </c>
      <c r="D2910" s="9">
        <v>62.23</v>
      </c>
      <c r="E2910" s="8">
        <v>26</v>
      </c>
    </row>
    <row r="2911" s="3" customFormat="1" ht="18.75" spans="1:5">
      <c r="A2911" s="8" t="str">
        <f t="shared" si="52"/>
        <v>250016</v>
      </c>
      <c r="B2911" s="8" t="str">
        <f>"2561403011225"</f>
        <v>2561403011225</v>
      </c>
      <c r="C2911" s="8" t="s">
        <v>9</v>
      </c>
      <c r="D2911" s="9">
        <v>62.17</v>
      </c>
      <c r="E2911" s="8">
        <v>27</v>
      </c>
    </row>
    <row r="2912" s="3" customFormat="1" ht="18.75" spans="1:5">
      <c r="A2912" s="8" t="str">
        <f t="shared" si="52"/>
        <v>250016</v>
      </c>
      <c r="B2912" s="8" t="str">
        <f>"2561403010707"</f>
        <v>2561403010707</v>
      </c>
      <c r="C2912" s="8" t="s">
        <v>9</v>
      </c>
      <c r="D2912" s="9">
        <v>62.07</v>
      </c>
      <c r="E2912" s="8">
        <v>28</v>
      </c>
    </row>
    <row r="2913" s="3" customFormat="1" ht="18.75" spans="1:5">
      <c r="A2913" s="8" t="str">
        <f t="shared" si="52"/>
        <v>250016</v>
      </c>
      <c r="B2913" s="8" t="str">
        <f>"2561403010706"</f>
        <v>2561403010706</v>
      </c>
      <c r="C2913" s="8" t="s">
        <v>9</v>
      </c>
      <c r="D2913" s="9">
        <v>62.04</v>
      </c>
      <c r="E2913" s="8">
        <v>29</v>
      </c>
    </row>
    <row r="2914" s="3" customFormat="1" ht="18.75" spans="1:5">
      <c r="A2914" s="8" t="str">
        <f t="shared" si="52"/>
        <v>250016</v>
      </c>
      <c r="B2914" s="8" t="str">
        <f>"2561403010715"</f>
        <v>2561403010715</v>
      </c>
      <c r="C2914" s="8" t="s">
        <v>9</v>
      </c>
      <c r="D2914" s="9">
        <v>62.03</v>
      </c>
      <c r="E2914" s="8">
        <v>30</v>
      </c>
    </row>
    <row r="2915" s="3" customFormat="1" ht="18.75" spans="1:5">
      <c r="A2915" s="8" t="str">
        <f t="shared" si="52"/>
        <v>250016</v>
      </c>
      <c r="B2915" s="8" t="str">
        <f>"2561403011228"</f>
        <v>2561403011228</v>
      </c>
      <c r="C2915" s="8" t="s">
        <v>9</v>
      </c>
      <c r="D2915" s="9">
        <v>61.81</v>
      </c>
      <c r="E2915" s="8">
        <v>31</v>
      </c>
    </row>
    <row r="2916" s="3" customFormat="1" ht="18.75" spans="1:5">
      <c r="A2916" s="8" t="str">
        <f t="shared" si="52"/>
        <v>250016</v>
      </c>
      <c r="B2916" s="8" t="str">
        <f>"2561403010510"</f>
        <v>2561403010510</v>
      </c>
      <c r="C2916" s="8" t="s">
        <v>9</v>
      </c>
      <c r="D2916" s="9">
        <v>61.79</v>
      </c>
      <c r="E2916" s="8">
        <v>32</v>
      </c>
    </row>
    <row r="2917" s="3" customFormat="1" ht="18.75" spans="1:5">
      <c r="A2917" s="8" t="str">
        <f t="shared" si="52"/>
        <v>250016</v>
      </c>
      <c r="B2917" s="8" t="str">
        <f>"2561403010616"</f>
        <v>2561403010616</v>
      </c>
      <c r="C2917" s="8" t="s">
        <v>9</v>
      </c>
      <c r="D2917" s="9">
        <v>61.49</v>
      </c>
      <c r="E2917" s="8">
        <v>33</v>
      </c>
    </row>
    <row r="2918" s="3" customFormat="1" ht="18.75" spans="1:5">
      <c r="A2918" s="8" t="str">
        <f t="shared" si="52"/>
        <v>250016</v>
      </c>
      <c r="B2918" s="8" t="str">
        <f>"2561403010823"</f>
        <v>2561403010823</v>
      </c>
      <c r="C2918" s="8" t="s">
        <v>9</v>
      </c>
      <c r="D2918" s="9">
        <v>61.4</v>
      </c>
      <c r="E2918" s="8">
        <v>34</v>
      </c>
    </row>
    <row r="2919" s="3" customFormat="1" ht="18.75" spans="1:5">
      <c r="A2919" s="8" t="str">
        <f t="shared" si="52"/>
        <v>250016</v>
      </c>
      <c r="B2919" s="8" t="str">
        <f>"2561403010716"</f>
        <v>2561403010716</v>
      </c>
      <c r="C2919" s="8" t="s">
        <v>9</v>
      </c>
      <c r="D2919" s="9">
        <v>61.33</v>
      </c>
      <c r="E2919" s="8">
        <v>35</v>
      </c>
    </row>
    <row r="2920" s="3" customFormat="1" ht="18.75" spans="1:5">
      <c r="A2920" s="8" t="str">
        <f t="shared" si="52"/>
        <v>250016</v>
      </c>
      <c r="B2920" s="8" t="str">
        <f>"2561403011307"</f>
        <v>2561403011307</v>
      </c>
      <c r="C2920" s="8" t="s">
        <v>9</v>
      </c>
      <c r="D2920" s="9">
        <v>61.31</v>
      </c>
      <c r="E2920" s="8">
        <v>36</v>
      </c>
    </row>
    <row r="2921" s="3" customFormat="1" ht="18.75" spans="1:5">
      <c r="A2921" s="8" t="str">
        <f t="shared" si="52"/>
        <v>250016</v>
      </c>
      <c r="B2921" s="8" t="str">
        <f>"2561403010710"</f>
        <v>2561403010710</v>
      </c>
      <c r="C2921" s="8" t="s">
        <v>9</v>
      </c>
      <c r="D2921" s="9">
        <v>61.12</v>
      </c>
      <c r="E2921" s="8">
        <v>37</v>
      </c>
    </row>
    <row r="2922" s="3" customFormat="1" ht="18.75" spans="1:5">
      <c r="A2922" s="8" t="str">
        <f t="shared" si="52"/>
        <v>250016</v>
      </c>
      <c r="B2922" s="8" t="str">
        <f>"2561403011310"</f>
        <v>2561403011310</v>
      </c>
      <c r="C2922" s="8" t="s">
        <v>9</v>
      </c>
      <c r="D2922" s="9">
        <v>61.06</v>
      </c>
      <c r="E2922" s="8">
        <v>38</v>
      </c>
    </row>
    <row r="2923" s="3" customFormat="1" ht="18.75" spans="1:5">
      <c r="A2923" s="8" t="str">
        <f t="shared" si="52"/>
        <v>250016</v>
      </c>
      <c r="B2923" s="8" t="str">
        <f>"2561403010718"</f>
        <v>2561403010718</v>
      </c>
      <c r="C2923" s="8" t="s">
        <v>9</v>
      </c>
      <c r="D2923" s="9">
        <v>61</v>
      </c>
      <c r="E2923" s="8">
        <v>39</v>
      </c>
    </row>
    <row r="2924" s="3" customFormat="1" ht="18.75" spans="1:5">
      <c r="A2924" s="8" t="str">
        <f t="shared" si="52"/>
        <v>250016</v>
      </c>
      <c r="B2924" s="8" t="str">
        <f>"2561403010924"</f>
        <v>2561403010924</v>
      </c>
      <c r="C2924" s="8" t="s">
        <v>9</v>
      </c>
      <c r="D2924" s="9">
        <v>60.86</v>
      </c>
      <c r="E2924" s="8">
        <v>40</v>
      </c>
    </row>
    <row r="2925" s="3" customFormat="1" ht="18.75" spans="1:5">
      <c r="A2925" s="8" t="str">
        <f t="shared" si="52"/>
        <v>250016</v>
      </c>
      <c r="B2925" s="8" t="str">
        <f>"2561403010604"</f>
        <v>2561403010604</v>
      </c>
      <c r="C2925" s="8" t="s">
        <v>9</v>
      </c>
      <c r="D2925" s="9">
        <v>60.85</v>
      </c>
      <c r="E2925" s="8">
        <v>41</v>
      </c>
    </row>
    <row r="2926" s="3" customFormat="1" ht="18.75" spans="1:5">
      <c r="A2926" s="8" t="str">
        <f t="shared" si="52"/>
        <v>250016</v>
      </c>
      <c r="B2926" s="8" t="str">
        <f>"2561403011030"</f>
        <v>2561403011030</v>
      </c>
      <c r="C2926" s="8" t="s">
        <v>9</v>
      </c>
      <c r="D2926" s="9">
        <v>60.84</v>
      </c>
      <c r="E2926" s="8">
        <v>42</v>
      </c>
    </row>
    <row r="2927" s="3" customFormat="1" ht="18.75" spans="1:5">
      <c r="A2927" s="8" t="str">
        <f t="shared" si="52"/>
        <v>250016</v>
      </c>
      <c r="B2927" s="8" t="str">
        <f>"2561403010713"</f>
        <v>2561403010713</v>
      </c>
      <c r="C2927" s="8" t="s">
        <v>9</v>
      </c>
      <c r="D2927" s="9">
        <v>60.65</v>
      </c>
      <c r="E2927" s="8">
        <v>43</v>
      </c>
    </row>
    <row r="2928" s="3" customFormat="1" ht="18.75" spans="1:5">
      <c r="A2928" s="8" t="str">
        <f t="shared" si="52"/>
        <v>250016</v>
      </c>
      <c r="B2928" s="8" t="str">
        <f>"2561403011109"</f>
        <v>2561403011109</v>
      </c>
      <c r="C2928" s="8" t="s">
        <v>9</v>
      </c>
      <c r="D2928" s="9">
        <v>60.65</v>
      </c>
      <c r="E2928" s="8">
        <v>43</v>
      </c>
    </row>
    <row r="2929" s="3" customFormat="1" ht="18.75" spans="1:5">
      <c r="A2929" s="8" t="str">
        <f t="shared" si="52"/>
        <v>250016</v>
      </c>
      <c r="B2929" s="8" t="str">
        <f>"2561403010720"</f>
        <v>2561403010720</v>
      </c>
      <c r="C2929" s="8" t="s">
        <v>9</v>
      </c>
      <c r="D2929" s="9">
        <v>60.63</v>
      </c>
      <c r="E2929" s="8">
        <v>45</v>
      </c>
    </row>
    <row r="2930" s="3" customFormat="1" ht="18.75" spans="1:5">
      <c r="A2930" s="8" t="str">
        <f t="shared" si="52"/>
        <v>250016</v>
      </c>
      <c r="B2930" s="8" t="str">
        <f>"2561403011025"</f>
        <v>2561403011025</v>
      </c>
      <c r="C2930" s="8" t="s">
        <v>9</v>
      </c>
      <c r="D2930" s="9">
        <v>60.58</v>
      </c>
      <c r="E2930" s="8">
        <v>46</v>
      </c>
    </row>
    <row r="2931" s="3" customFormat="1" ht="18.75" spans="1:5">
      <c r="A2931" s="8" t="str">
        <f t="shared" si="52"/>
        <v>250016</v>
      </c>
      <c r="B2931" s="8" t="str">
        <f>"2561403010917"</f>
        <v>2561403010917</v>
      </c>
      <c r="C2931" s="8" t="s">
        <v>9</v>
      </c>
      <c r="D2931" s="9">
        <v>60.28</v>
      </c>
      <c r="E2931" s="8">
        <v>47</v>
      </c>
    </row>
    <row r="2932" s="3" customFormat="1" ht="18.75" spans="1:5">
      <c r="A2932" s="8" t="str">
        <f t="shared" si="52"/>
        <v>250016</v>
      </c>
      <c r="B2932" s="8" t="str">
        <f>"2561403010518"</f>
        <v>2561403010518</v>
      </c>
      <c r="C2932" s="8" t="s">
        <v>9</v>
      </c>
      <c r="D2932" s="9">
        <v>60.22</v>
      </c>
      <c r="E2932" s="8">
        <v>48</v>
      </c>
    </row>
    <row r="2933" s="3" customFormat="1" ht="18.75" spans="1:5">
      <c r="A2933" s="8" t="str">
        <f t="shared" si="52"/>
        <v>250016</v>
      </c>
      <c r="B2933" s="8" t="str">
        <f>"2561403011130"</f>
        <v>2561403011130</v>
      </c>
      <c r="C2933" s="8" t="s">
        <v>9</v>
      </c>
      <c r="D2933" s="9">
        <v>60</v>
      </c>
      <c r="E2933" s="8">
        <v>49</v>
      </c>
    </row>
    <row r="2934" s="3" customFormat="1" ht="18.75" spans="1:5">
      <c r="A2934" s="8" t="str">
        <f t="shared" si="52"/>
        <v>250016</v>
      </c>
      <c r="B2934" s="8" t="str">
        <f>"2561403010902"</f>
        <v>2561403010902</v>
      </c>
      <c r="C2934" s="8" t="s">
        <v>9</v>
      </c>
      <c r="D2934" s="9">
        <v>59.89</v>
      </c>
      <c r="E2934" s="8">
        <v>50</v>
      </c>
    </row>
    <row r="2935" s="3" customFormat="1" ht="18.75" spans="1:5">
      <c r="A2935" s="8" t="str">
        <f t="shared" si="52"/>
        <v>250016</v>
      </c>
      <c r="B2935" s="8" t="str">
        <f>"2561403011102"</f>
        <v>2561403011102</v>
      </c>
      <c r="C2935" s="8" t="s">
        <v>9</v>
      </c>
      <c r="D2935" s="9">
        <v>59.88</v>
      </c>
      <c r="E2935" s="8">
        <v>51</v>
      </c>
    </row>
    <row r="2936" s="3" customFormat="1" ht="18.75" spans="1:5">
      <c r="A2936" s="8" t="str">
        <f t="shared" si="52"/>
        <v>250016</v>
      </c>
      <c r="B2936" s="8" t="str">
        <f>"2561403011104"</f>
        <v>2561403011104</v>
      </c>
      <c r="C2936" s="8" t="s">
        <v>9</v>
      </c>
      <c r="D2936" s="9">
        <v>59.84</v>
      </c>
      <c r="E2936" s="8">
        <v>52</v>
      </c>
    </row>
    <row r="2937" s="3" customFormat="1" ht="18.75" spans="1:5">
      <c r="A2937" s="8" t="str">
        <f t="shared" si="52"/>
        <v>250016</v>
      </c>
      <c r="B2937" s="8" t="str">
        <f>"2561403010521"</f>
        <v>2561403010521</v>
      </c>
      <c r="C2937" s="8" t="s">
        <v>9</v>
      </c>
      <c r="D2937" s="9">
        <v>59.8</v>
      </c>
      <c r="E2937" s="8">
        <v>53</v>
      </c>
    </row>
    <row r="2938" s="3" customFormat="1" ht="18.75" spans="1:5">
      <c r="A2938" s="8" t="str">
        <f t="shared" si="52"/>
        <v>250016</v>
      </c>
      <c r="B2938" s="8" t="str">
        <f>"2561403011015"</f>
        <v>2561403011015</v>
      </c>
      <c r="C2938" s="8" t="s">
        <v>9</v>
      </c>
      <c r="D2938" s="9">
        <v>59.62</v>
      </c>
      <c r="E2938" s="8">
        <v>54</v>
      </c>
    </row>
    <row r="2939" s="3" customFormat="1" ht="18.75" spans="1:5">
      <c r="A2939" s="8" t="str">
        <f t="shared" si="52"/>
        <v>250016</v>
      </c>
      <c r="B2939" s="8" t="str">
        <f>"2561403010825"</f>
        <v>2561403010825</v>
      </c>
      <c r="C2939" s="8" t="s">
        <v>9</v>
      </c>
      <c r="D2939" s="9">
        <v>59.61</v>
      </c>
      <c r="E2939" s="8">
        <v>55</v>
      </c>
    </row>
    <row r="2940" s="3" customFormat="1" ht="18.75" spans="1:5">
      <c r="A2940" s="8" t="str">
        <f t="shared" si="52"/>
        <v>250016</v>
      </c>
      <c r="B2940" s="8" t="str">
        <f>"2561403010622"</f>
        <v>2561403010622</v>
      </c>
      <c r="C2940" s="8" t="s">
        <v>9</v>
      </c>
      <c r="D2940" s="9">
        <v>59.58</v>
      </c>
      <c r="E2940" s="8">
        <v>56</v>
      </c>
    </row>
    <row r="2941" s="3" customFormat="1" ht="18.75" spans="1:5">
      <c r="A2941" s="8" t="str">
        <f t="shared" si="52"/>
        <v>250016</v>
      </c>
      <c r="B2941" s="8" t="str">
        <f>"2561403010929"</f>
        <v>2561403010929</v>
      </c>
      <c r="C2941" s="8" t="s">
        <v>9</v>
      </c>
      <c r="D2941" s="9">
        <v>59.56</v>
      </c>
      <c r="E2941" s="8">
        <v>57</v>
      </c>
    </row>
    <row r="2942" s="3" customFormat="1" ht="18.75" spans="1:5">
      <c r="A2942" s="8" t="str">
        <f t="shared" si="52"/>
        <v>250016</v>
      </c>
      <c r="B2942" s="8" t="str">
        <f>"2561403011108"</f>
        <v>2561403011108</v>
      </c>
      <c r="C2942" s="8" t="s">
        <v>9</v>
      </c>
      <c r="D2942" s="9">
        <v>59.48</v>
      </c>
      <c r="E2942" s="8">
        <v>58</v>
      </c>
    </row>
    <row r="2943" s="3" customFormat="1" ht="18.75" spans="1:5">
      <c r="A2943" s="8" t="str">
        <f t="shared" si="52"/>
        <v>250016</v>
      </c>
      <c r="B2943" s="8" t="str">
        <f>"2561403011202"</f>
        <v>2561403011202</v>
      </c>
      <c r="C2943" s="8" t="s">
        <v>9</v>
      </c>
      <c r="D2943" s="9">
        <v>59.44</v>
      </c>
      <c r="E2943" s="8">
        <v>59</v>
      </c>
    </row>
    <row r="2944" s="3" customFormat="1" ht="18.75" spans="1:5">
      <c r="A2944" s="8" t="str">
        <f t="shared" si="52"/>
        <v>250016</v>
      </c>
      <c r="B2944" s="8" t="str">
        <f>"2561403010830"</f>
        <v>2561403010830</v>
      </c>
      <c r="C2944" s="8" t="s">
        <v>9</v>
      </c>
      <c r="D2944" s="9">
        <v>59.26</v>
      </c>
      <c r="E2944" s="8">
        <v>60</v>
      </c>
    </row>
    <row r="2945" s="3" customFormat="1" ht="18.75" spans="1:5">
      <c r="A2945" s="8" t="str">
        <f t="shared" si="52"/>
        <v>250016</v>
      </c>
      <c r="B2945" s="8" t="str">
        <f>"2561403010730"</f>
        <v>2561403010730</v>
      </c>
      <c r="C2945" s="8" t="s">
        <v>9</v>
      </c>
      <c r="D2945" s="9">
        <v>59.24</v>
      </c>
      <c r="E2945" s="8">
        <v>61</v>
      </c>
    </row>
    <row r="2946" s="3" customFormat="1" ht="18.75" spans="1:5">
      <c r="A2946" s="8" t="str">
        <f t="shared" si="52"/>
        <v>250016</v>
      </c>
      <c r="B2946" s="8" t="str">
        <f>"2561403010911"</f>
        <v>2561403010911</v>
      </c>
      <c r="C2946" s="8" t="s">
        <v>9</v>
      </c>
      <c r="D2946" s="9">
        <v>59.19</v>
      </c>
      <c r="E2946" s="8">
        <v>62</v>
      </c>
    </row>
    <row r="2947" s="3" customFormat="1" ht="18.75" spans="1:5">
      <c r="A2947" s="8" t="str">
        <f t="shared" si="52"/>
        <v>250016</v>
      </c>
      <c r="B2947" s="8" t="str">
        <f>"2561403011105"</f>
        <v>2561403011105</v>
      </c>
      <c r="C2947" s="8" t="s">
        <v>9</v>
      </c>
      <c r="D2947" s="9">
        <v>59.12</v>
      </c>
      <c r="E2947" s="8">
        <v>63</v>
      </c>
    </row>
    <row r="2948" s="3" customFormat="1" ht="18.75" spans="1:5">
      <c r="A2948" s="8" t="str">
        <f t="shared" si="52"/>
        <v>250016</v>
      </c>
      <c r="B2948" s="8" t="str">
        <f>"2561403011224"</f>
        <v>2561403011224</v>
      </c>
      <c r="C2948" s="8" t="s">
        <v>9</v>
      </c>
      <c r="D2948" s="9">
        <v>59.1</v>
      </c>
      <c r="E2948" s="8">
        <v>64</v>
      </c>
    </row>
    <row r="2949" s="3" customFormat="1" ht="18.75" spans="1:5">
      <c r="A2949" s="8" t="str">
        <f t="shared" ref="A2949:A3012" si="53">"250016"</f>
        <v>250016</v>
      </c>
      <c r="B2949" s="8" t="str">
        <f>"2561403011208"</f>
        <v>2561403011208</v>
      </c>
      <c r="C2949" s="8" t="s">
        <v>9</v>
      </c>
      <c r="D2949" s="9">
        <v>59.06</v>
      </c>
      <c r="E2949" s="8">
        <v>65</v>
      </c>
    </row>
    <row r="2950" s="3" customFormat="1" ht="18.75" spans="1:5">
      <c r="A2950" s="8" t="str">
        <f t="shared" si="53"/>
        <v>250016</v>
      </c>
      <c r="B2950" s="8" t="str">
        <f>"2561403010907"</f>
        <v>2561403010907</v>
      </c>
      <c r="C2950" s="8" t="s">
        <v>9</v>
      </c>
      <c r="D2950" s="9">
        <v>58.82</v>
      </c>
      <c r="E2950" s="8">
        <v>66</v>
      </c>
    </row>
    <row r="2951" s="3" customFormat="1" ht="18.75" spans="1:5">
      <c r="A2951" s="8" t="str">
        <f t="shared" si="53"/>
        <v>250016</v>
      </c>
      <c r="B2951" s="8" t="str">
        <f>"2561403010702"</f>
        <v>2561403010702</v>
      </c>
      <c r="C2951" s="8" t="s">
        <v>9</v>
      </c>
      <c r="D2951" s="9">
        <v>58.79</v>
      </c>
      <c r="E2951" s="8">
        <v>67</v>
      </c>
    </row>
    <row r="2952" s="3" customFormat="1" ht="18.75" spans="1:5">
      <c r="A2952" s="8" t="str">
        <f t="shared" si="53"/>
        <v>250016</v>
      </c>
      <c r="B2952" s="8" t="str">
        <f>"2561403010826"</f>
        <v>2561403010826</v>
      </c>
      <c r="C2952" s="8" t="s">
        <v>9</v>
      </c>
      <c r="D2952" s="9">
        <v>58.76</v>
      </c>
      <c r="E2952" s="8">
        <v>68</v>
      </c>
    </row>
    <row r="2953" s="3" customFormat="1" ht="18.75" spans="1:5">
      <c r="A2953" s="8" t="str">
        <f t="shared" si="53"/>
        <v>250016</v>
      </c>
      <c r="B2953" s="8" t="str">
        <f>"2561403011022"</f>
        <v>2561403011022</v>
      </c>
      <c r="C2953" s="8" t="s">
        <v>9</v>
      </c>
      <c r="D2953" s="9">
        <v>58.7</v>
      </c>
      <c r="E2953" s="8">
        <v>69</v>
      </c>
    </row>
    <row r="2954" s="3" customFormat="1" ht="18.75" spans="1:5">
      <c r="A2954" s="8" t="str">
        <f t="shared" si="53"/>
        <v>250016</v>
      </c>
      <c r="B2954" s="8" t="str">
        <f>"2561403011206"</f>
        <v>2561403011206</v>
      </c>
      <c r="C2954" s="8" t="s">
        <v>9</v>
      </c>
      <c r="D2954" s="9">
        <v>58.7</v>
      </c>
      <c r="E2954" s="8">
        <v>69</v>
      </c>
    </row>
    <row r="2955" s="3" customFormat="1" ht="18.75" spans="1:5">
      <c r="A2955" s="8" t="str">
        <f t="shared" si="53"/>
        <v>250016</v>
      </c>
      <c r="B2955" s="8" t="str">
        <f>"2561403011026"</f>
        <v>2561403011026</v>
      </c>
      <c r="C2955" s="8" t="s">
        <v>9</v>
      </c>
      <c r="D2955" s="9">
        <v>58.56</v>
      </c>
      <c r="E2955" s="8">
        <v>71</v>
      </c>
    </row>
    <row r="2956" s="3" customFormat="1" ht="18.75" spans="1:5">
      <c r="A2956" s="8" t="str">
        <f t="shared" si="53"/>
        <v>250016</v>
      </c>
      <c r="B2956" s="8" t="str">
        <f>"2561403010813"</f>
        <v>2561403010813</v>
      </c>
      <c r="C2956" s="8" t="s">
        <v>9</v>
      </c>
      <c r="D2956" s="9">
        <v>58.45</v>
      </c>
      <c r="E2956" s="8">
        <v>72</v>
      </c>
    </row>
    <row r="2957" s="3" customFormat="1" ht="18.75" spans="1:5">
      <c r="A2957" s="8" t="str">
        <f t="shared" si="53"/>
        <v>250016</v>
      </c>
      <c r="B2957" s="8" t="str">
        <f>"2561403011210"</f>
        <v>2561403011210</v>
      </c>
      <c r="C2957" s="8" t="s">
        <v>9</v>
      </c>
      <c r="D2957" s="9">
        <v>58.39</v>
      </c>
      <c r="E2957" s="8">
        <v>73</v>
      </c>
    </row>
    <row r="2958" s="3" customFormat="1" ht="18.75" spans="1:5">
      <c r="A2958" s="8" t="str">
        <f t="shared" si="53"/>
        <v>250016</v>
      </c>
      <c r="B2958" s="8" t="str">
        <f>"2561403010824"</f>
        <v>2561403010824</v>
      </c>
      <c r="C2958" s="8" t="s">
        <v>9</v>
      </c>
      <c r="D2958" s="9">
        <v>58.14</v>
      </c>
      <c r="E2958" s="8">
        <v>74</v>
      </c>
    </row>
    <row r="2959" s="3" customFormat="1" ht="18.75" spans="1:5">
      <c r="A2959" s="8" t="str">
        <f t="shared" si="53"/>
        <v>250016</v>
      </c>
      <c r="B2959" s="8" t="str">
        <f>"2561403011309"</f>
        <v>2561403011309</v>
      </c>
      <c r="C2959" s="8" t="s">
        <v>9</v>
      </c>
      <c r="D2959" s="9">
        <v>57.95</v>
      </c>
      <c r="E2959" s="8">
        <v>75</v>
      </c>
    </row>
    <row r="2960" s="3" customFormat="1" ht="18.75" spans="1:5">
      <c r="A2960" s="8" t="str">
        <f t="shared" si="53"/>
        <v>250016</v>
      </c>
      <c r="B2960" s="8" t="str">
        <f>"2561403011215"</f>
        <v>2561403011215</v>
      </c>
      <c r="C2960" s="8" t="s">
        <v>9</v>
      </c>
      <c r="D2960" s="9">
        <v>57.84</v>
      </c>
      <c r="E2960" s="8">
        <v>76</v>
      </c>
    </row>
    <row r="2961" s="3" customFormat="1" ht="18.75" spans="1:5">
      <c r="A2961" s="8" t="str">
        <f t="shared" si="53"/>
        <v>250016</v>
      </c>
      <c r="B2961" s="8" t="str">
        <f>"2561403011312"</f>
        <v>2561403011312</v>
      </c>
      <c r="C2961" s="8" t="s">
        <v>9</v>
      </c>
      <c r="D2961" s="9">
        <v>57.73</v>
      </c>
      <c r="E2961" s="8">
        <v>77</v>
      </c>
    </row>
    <row r="2962" s="3" customFormat="1" ht="18.75" spans="1:5">
      <c r="A2962" s="8" t="str">
        <f t="shared" si="53"/>
        <v>250016</v>
      </c>
      <c r="B2962" s="8" t="str">
        <f>"2561403010810"</f>
        <v>2561403010810</v>
      </c>
      <c r="C2962" s="8" t="s">
        <v>9</v>
      </c>
      <c r="D2962" s="9">
        <v>57.62</v>
      </c>
      <c r="E2962" s="8">
        <v>78</v>
      </c>
    </row>
    <row r="2963" s="3" customFormat="1" ht="18.75" spans="1:5">
      <c r="A2963" s="8" t="str">
        <f t="shared" si="53"/>
        <v>250016</v>
      </c>
      <c r="B2963" s="8" t="str">
        <f>"2561403010920"</f>
        <v>2561403010920</v>
      </c>
      <c r="C2963" s="8" t="s">
        <v>9</v>
      </c>
      <c r="D2963" s="9">
        <v>57.58</v>
      </c>
      <c r="E2963" s="8">
        <v>79</v>
      </c>
    </row>
    <row r="2964" s="3" customFormat="1" ht="18.75" spans="1:5">
      <c r="A2964" s="8" t="str">
        <f t="shared" si="53"/>
        <v>250016</v>
      </c>
      <c r="B2964" s="8" t="str">
        <f>"2561403011120"</f>
        <v>2561403011120</v>
      </c>
      <c r="C2964" s="8" t="s">
        <v>9</v>
      </c>
      <c r="D2964" s="9">
        <v>57.57</v>
      </c>
      <c r="E2964" s="8">
        <v>80</v>
      </c>
    </row>
    <row r="2965" s="3" customFormat="1" ht="18.75" spans="1:5">
      <c r="A2965" s="8" t="str">
        <f t="shared" si="53"/>
        <v>250016</v>
      </c>
      <c r="B2965" s="8" t="str">
        <f>"2561403010728"</f>
        <v>2561403010728</v>
      </c>
      <c r="C2965" s="8" t="s">
        <v>9</v>
      </c>
      <c r="D2965" s="9">
        <v>57.39</v>
      </c>
      <c r="E2965" s="8">
        <v>81</v>
      </c>
    </row>
    <row r="2966" s="3" customFormat="1" ht="18.75" spans="1:5">
      <c r="A2966" s="8" t="str">
        <f t="shared" si="53"/>
        <v>250016</v>
      </c>
      <c r="B2966" s="8" t="str">
        <f>"2561403010822"</f>
        <v>2561403010822</v>
      </c>
      <c r="C2966" s="8" t="s">
        <v>9</v>
      </c>
      <c r="D2966" s="9">
        <v>57.22</v>
      </c>
      <c r="E2966" s="8">
        <v>82</v>
      </c>
    </row>
    <row r="2967" s="3" customFormat="1" ht="18.75" spans="1:5">
      <c r="A2967" s="8" t="str">
        <f t="shared" si="53"/>
        <v>250016</v>
      </c>
      <c r="B2967" s="8" t="str">
        <f>"2561403011212"</f>
        <v>2561403011212</v>
      </c>
      <c r="C2967" s="8" t="s">
        <v>9</v>
      </c>
      <c r="D2967" s="9">
        <v>57.13</v>
      </c>
      <c r="E2967" s="8">
        <v>83</v>
      </c>
    </row>
    <row r="2968" s="3" customFormat="1" ht="18.75" spans="1:5">
      <c r="A2968" s="8" t="str">
        <f t="shared" si="53"/>
        <v>250016</v>
      </c>
      <c r="B2968" s="8" t="str">
        <f>"2561403010623"</f>
        <v>2561403010623</v>
      </c>
      <c r="C2968" s="8" t="s">
        <v>9</v>
      </c>
      <c r="D2968" s="9">
        <v>57.05</v>
      </c>
      <c r="E2968" s="8">
        <v>84</v>
      </c>
    </row>
    <row r="2969" s="3" customFormat="1" ht="18.75" spans="1:5">
      <c r="A2969" s="8" t="str">
        <f t="shared" si="53"/>
        <v>250016</v>
      </c>
      <c r="B2969" s="8" t="str">
        <f>"2561403011314"</f>
        <v>2561403011314</v>
      </c>
      <c r="C2969" s="8" t="s">
        <v>9</v>
      </c>
      <c r="D2969" s="9">
        <v>57.04</v>
      </c>
      <c r="E2969" s="8">
        <v>85</v>
      </c>
    </row>
    <row r="2970" s="3" customFormat="1" ht="18.75" spans="1:5">
      <c r="A2970" s="8" t="str">
        <f t="shared" si="53"/>
        <v>250016</v>
      </c>
      <c r="B2970" s="8" t="str">
        <f>"2561403010525"</f>
        <v>2561403010525</v>
      </c>
      <c r="C2970" s="8" t="s">
        <v>9</v>
      </c>
      <c r="D2970" s="9">
        <v>57.02</v>
      </c>
      <c r="E2970" s="8">
        <v>86</v>
      </c>
    </row>
    <row r="2971" s="3" customFormat="1" ht="18.75" spans="1:5">
      <c r="A2971" s="8" t="str">
        <f t="shared" si="53"/>
        <v>250016</v>
      </c>
      <c r="B2971" s="8" t="str">
        <f>"2561403010705"</f>
        <v>2561403010705</v>
      </c>
      <c r="C2971" s="8" t="s">
        <v>9</v>
      </c>
      <c r="D2971" s="9">
        <v>56.98</v>
      </c>
      <c r="E2971" s="8">
        <v>87</v>
      </c>
    </row>
    <row r="2972" s="3" customFormat="1" ht="18.75" spans="1:5">
      <c r="A2972" s="8" t="str">
        <f t="shared" si="53"/>
        <v>250016</v>
      </c>
      <c r="B2972" s="8" t="str">
        <f>"2561403010629"</f>
        <v>2561403010629</v>
      </c>
      <c r="C2972" s="8" t="s">
        <v>9</v>
      </c>
      <c r="D2972" s="9">
        <v>56.93</v>
      </c>
      <c r="E2972" s="8">
        <v>88</v>
      </c>
    </row>
    <row r="2973" s="3" customFormat="1" ht="18.75" spans="1:5">
      <c r="A2973" s="8" t="str">
        <f t="shared" si="53"/>
        <v>250016</v>
      </c>
      <c r="B2973" s="8" t="str">
        <f>"2561403011303"</f>
        <v>2561403011303</v>
      </c>
      <c r="C2973" s="8" t="s">
        <v>9</v>
      </c>
      <c r="D2973" s="9">
        <v>56.83</v>
      </c>
      <c r="E2973" s="8">
        <v>89</v>
      </c>
    </row>
    <row r="2974" s="3" customFormat="1" ht="18.75" spans="1:5">
      <c r="A2974" s="8" t="str">
        <f t="shared" si="53"/>
        <v>250016</v>
      </c>
      <c r="B2974" s="8" t="str">
        <f>"2561403010928"</f>
        <v>2561403010928</v>
      </c>
      <c r="C2974" s="8" t="s">
        <v>9</v>
      </c>
      <c r="D2974" s="9">
        <v>56.79</v>
      </c>
      <c r="E2974" s="8">
        <v>90</v>
      </c>
    </row>
    <row r="2975" s="3" customFormat="1" ht="18.75" spans="1:5">
      <c r="A2975" s="8" t="str">
        <f t="shared" si="53"/>
        <v>250016</v>
      </c>
      <c r="B2975" s="8" t="str">
        <f>"2561403011017"</f>
        <v>2561403011017</v>
      </c>
      <c r="C2975" s="8" t="s">
        <v>9</v>
      </c>
      <c r="D2975" s="9">
        <v>56.79</v>
      </c>
      <c r="E2975" s="8">
        <v>90</v>
      </c>
    </row>
    <row r="2976" s="3" customFormat="1" ht="18.75" spans="1:5">
      <c r="A2976" s="8" t="str">
        <f t="shared" si="53"/>
        <v>250016</v>
      </c>
      <c r="B2976" s="8" t="str">
        <f>"2561403010916"</f>
        <v>2561403010916</v>
      </c>
      <c r="C2976" s="8" t="s">
        <v>9</v>
      </c>
      <c r="D2976" s="9">
        <v>56.61</v>
      </c>
      <c r="E2976" s="8">
        <v>92</v>
      </c>
    </row>
    <row r="2977" s="3" customFormat="1" ht="18.75" spans="1:5">
      <c r="A2977" s="8" t="str">
        <f t="shared" si="53"/>
        <v>250016</v>
      </c>
      <c r="B2977" s="8" t="str">
        <f>"2561403010606"</f>
        <v>2561403010606</v>
      </c>
      <c r="C2977" s="8" t="s">
        <v>9</v>
      </c>
      <c r="D2977" s="9">
        <v>56.59</v>
      </c>
      <c r="E2977" s="8">
        <v>93</v>
      </c>
    </row>
    <row r="2978" s="3" customFormat="1" ht="18.75" spans="1:5">
      <c r="A2978" s="8" t="str">
        <f t="shared" si="53"/>
        <v>250016</v>
      </c>
      <c r="B2978" s="8" t="str">
        <f>"2561403010806"</f>
        <v>2561403010806</v>
      </c>
      <c r="C2978" s="8" t="s">
        <v>9</v>
      </c>
      <c r="D2978" s="9">
        <v>56.59</v>
      </c>
      <c r="E2978" s="8">
        <v>93</v>
      </c>
    </row>
    <row r="2979" s="3" customFormat="1" ht="18.75" spans="1:5">
      <c r="A2979" s="8" t="str">
        <f t="shared" si="53"/>
        <v>250016</v>
      </c>
      <c r="B2979" s="8" t="str">
        <f>"2561403011018"</f>
        <v>2561403011018</v>
      </c>
      <c r="C2979" s="8" t="s">
        <v>9</v>
      </c>
      <c r="D2979" s="9">
        <v>56.11</v>
      </c>
      <c r="E2979" s="8">
        <v>95</v>
      </c>
    </row>
    <row r="2980" s="3" customFormat="1" ht="18.75" spans="1:5">
      <c r="A2980" s="8" t="str">
        <f t="shared" si="53"/>
        <v>250016</v>
      </c>
      <c r="B2980" s="8" t="str">
        <f>"2561403010526"</f>
        <v>2561403010526</v>
      </c>
      <c r="C2980" s="8" t="s">
        <v>9</v>
      </c>
      <c r="D2980" s="9">
        <v>55.89</v>
      </c>
      <c r="E2980" s="8">
        <v>96</v>
      </c>
    </row>
    <row r="2981" s="3" customFormat="1" ht="18.75" spans="1:5">
      <c r="A2981" s="8" t="str">
        <f t="shared" si="53"/>
        <v>250016</v>
      </c>
      <c r="B2981" s="8" t="str">
        <f>"2561403010628"</f>
        <v>2561403010628</v>
      </c>
      <c r="C2981" s="8" t="s">
        <v>9</v>
      </c>
      <c r="D2981" s="9">
        <v>55.87</v>
      </c>
      <c r="E2981" s="8">
        <v>97</v>
      </c>
    </row>
    <row r="2982" s="3" customFormat="1" ht="18.75" spans="1:5">
      <c r="A2982" s="8" t="str">
        <f t="shared" si="53"/>
        <v>250016</v>
      </c>
      <c r="B2982" s="8" t="str">
        <f>"2561403011005"</f>
        <v>2561403011005</v>
      </c>
      <c r="C2982" s="8" t="s">
        <v>9</v>
      </c>
      <c r="D2982" s="9">
        <v>55.87</v>
      </c>
      <c r="E2982" s="8">
        <v>97</v>
      </c>
    </row>
    <row r="2983" s="3" customFormat="1" ht="18.75" spans="1:5">
      <c r="A2983" s="8" t="str">
        <f t="shared" si="53"/>
        <v>250016</v>
      </c>
      <c r="B2983" s="8" t="str">
        <f>"2561403011029"</f>
        <v>2561403011029</v>
      </c>
      <c r="C2983" s="8" t="s">
        <v>9</v>
      </c>
      <c r="D2983" s="9">
        <v>55.7</v>
      </c>
      <c r="E2983" s="8">
        <v>99</v>
      </c>
    </row>
    <row r="2984" s="3" customFormat="1" ht="18.75" spans="1:5">
      <c r="A2984" s="8" t="str">
        <f t="shared" si="53"/>
        <v>250016</v>
      </c>
      <c r="B2984" s="8" t="str">
        <f>"2561403010620"</f>
        <v>2561403010620</v>
      </c>
      <c r="C2984" s="8" t="s">
        <v>9</v>
      </c>
      <c r="D2984" s="9">
        <v>55.67</v>
      </c>
      <c r="E2984" s="8">
        <v>100</v>
      </c>
    </row>
    <row r="2985" s="3" customFormat="1" ht="18.75" spans="1:5">
      <c r="A2985" s="8" t="str">
        <f t="shared" si="53"/>
        <v>250016</v>
      </c>
      <c r="B2985" s="8" t="str">
        <f>"2561403010528"</f>
        <v>2561403010528</v>
      </c>
      <c r="C2985" s="8" t="s">
        <v>9</v>
      </c>
      <c r="D2985" s="9">
        <v>55.61</v>
      </c>
      <c r="E2985" s="8">
        <v>101</v>
      </c>
    </row>
    <row r="2986" s="3" customFormat="1" ht="18.75" spans="1:5">
      <c r="A2986" s="8" t="str">
        <f t="shared" si="53"/>
        <v>250016</v>
      </c>
      <c r="B2986" s="8" t="str">
        <f>"2561403010523"</f>
        <v>2561403010523</v>
      </c>
      <c r="C2986" s="8" t="s">
        <v>9</v>
      </c>
      <c r="D2986" s="9">
        <v>55.38</v>
      </c>
      <c r="E2986" s="8">
        <v>102</v>
      </c>
    </row>
    <row r="2987" s="3" customFormat="1" ht="18.75" spans="1:5">
      <c r="A2987" s="8" t="str">
        <f t="shared" si="53"/>
        <v>250016</v>
      </c>
      <c r="B2987" s="8" t="str">
        <f>"2561403011008"</f>
        <v>2561403011008</v>
      </c>
      <c r="C2987" s="8" t="s">
        <v>9</v>
      </c>
      <c r="D2987" s="9">
        <v>55.27</v>
      </c>
      <c r="E2987" s="8">
        <v>103</v>
      </c>
    </row>
    <row r="2988" s="3" customFormat="1" ht="18.75" spans="1:5">
      <c r="A2988" s="8" t="str">
        <f t="shared" si="53"/>
        <v>250016</v>
      </c>
      <c r="B2988" s="8" t="str">
        <f>"2561403010708"</f>
        <v>2561403010708</v>
      </c>
      <c r="C2988" s="8" t="s">
        <v>9</v>
      </c>
      <c r="D2988" s="9">
        <v>55.18</v>
      </c>
      <c r="E2988" s="8">
        <v>104</v>
      </c>
    </row>
    <row r="2989" s="3" customFormat="1" ht="18.75" spans="1:5">
      <c r="A2989" s="8" t="str">
        <f t="shared" si="53"/>
        <v>250016</v>
      </c>
      <c r="B2989" s="8" t="str">
        <f>"2561403010610"</f>
        <v>2561403010610</v>
      </c>
      <c r="C2989" s="8" t="s">
        <v>9</v>
      </c>
      <c r="D2989" s="9">
        <v>55.07</v>
      </c>
      <c r="E2989" s="8">
        <v>105</v>
      </c>
    </row>
    <row r="2990" s="3" customFormat="1" ht="18.75" spans="1:5">
      <c r="A2990" s="8" t="str">
        <f t="shared" si="53"/>
        <v>250016</v>
      </c>
      <c r="B2990" s="8" t="str">
        <f>"2561403011318"</f>
        <v>2561403011318</v>
      </c>
      <c r="C2990" s="8" t="s">
        <v>9</v>
      </c>
      <c r="D2990" s="9">
        <v>55.06</v>
      </c>
      <c r="E2990" s="8">
        <v>106</v>
      </c>
    </row>
    <row r="2991" s="3" customFormat="1" ht="18.75" spans="1:5">
      <c r="A2991" s="8" t="str">
        <f t="shared" si="53"/>
        <v>250016</v>
      </c>
      <c r="B2991" s="8" t="str">
        <f>"2561403010527"</f>
        <v>2561403010527</v>
      </c>
      <c r="C2991" s="8" t="s">
        <v>9</v>
      </c>
      <c r="D2991" s="9">
        <v>54.92</v>
      </c>
      <c r="E2991" s="8">
        <v>107</v>
      </c>
    </row>
    <row r="2992" s="3" customFormat="1" ht="18.75" spans="1:5">
      <c r="A2992" s="8" t="str">
        <f t="shared" si="53"/>
        <v>250016</v>
      </c>
      <c r="B2992" s="8" t="str">
        <f>"2561403011127"</f>
        <v>2561403011127</v>
      </c>
      <c r="C2992" s="8" t="s">
        <v>9</v>
      </c>
      <c r="D2992" s="9">
        <v>54.9</v>
      </c>
      <c r="E2992" s="8">
        <v>108</v>
      </c>
    </row>
    <row r="2993" s="3" customFormat="1" ht="18.75" spans="1:5">
      <c r="A2993" s="8" t="str">
        <f t="shared" si="53"/>
        <v>250016</v>
      </c>
      <c r="B2993" s="8" t="str">
        <f>"2561403011009"</f>
        <v>2561403011009</v>
      </c>
      <c r="C2993" s="8" t="s">
        <v>9</v>
      </c>
      <c r="D2993" s="9">
        <v>54.88</v>
      </c>
      <c r="E2993" s="8">
        <v>109</v>
      </c>
    </row>
    <row r="2994" s="3" customFormat="1" ht="18.75" spans="1:5">
      <c r="A2994" s="8" t="str">
        <f t="shared" si="53"/>
        <v>250016</v>
      </c>
      <c r="B2994" s="8" t="str">
        <f>"2561403010626"</f>
        <v>2561403010626</v>
      </c>
      <c r="C2994" s="8" t="s">
        <v>9</v>
      </c>
      <c r="D2994" s="9">
        <v>54.85</v>
      </c>
      <c r="E2994" s="8">
        <v>110</v>
      </c>
    </row>
    <row r="2995" s="3" customFormat="1" ht="18.75" spans="1:5">
      <c r="A2995" s="8" t="str">
        <f t="shared" si="53"/>
        <v>250016</v>
      </c>
      <c r="B2995" s="8" t="str">
        <f>"2561403011117"</f>
        <v>2561403011117</v>
      </c>
      <c r="C2995" s="8" t="s">
        <v>9</v>
      </c>
      <c r="D2995" s="9">
        <v>54.83</v>
      </c>
      <c r="E2995" s="8">
        <v>111</v>
      </c>
    </row>
    <row r="2996" s="3" customFormat="1" ht="18.75" spans="1:5">
      <c r="A2996" s="8" t="str">
        <f t="shared" si="53"/>
        <v>250016</v>
      </c>
      <c r="B2996" s="8" t="str">
        <f>"2561403011016"</f>
        <v>2561403011016</v>
      </c>
      <c r="C2996" s="8" t="s">
        <v>9</v>
      </c>
      <c r="D2996" s="9">
        <v>54.74</v>
      </c>
      <c r="E2996" s="8">
        <v>112</v>
      </c>
    </row>
    <row r="2997" s="3" customFormat="1" ht="18.75" spans="1:5">
      <c r="A2997" s="8" t="str">
        <f t="shared" si="53"/>
        <v>250016</v>
      </c>
      <c r="B2997" s="8" t="str">
        <f>"2561403010513"</f>
        <v>2561403010513</v>
      </c>
      <c r="C2997" s="8" t="s">
        <v>9</v>
      </c>
      <c r="D2997" s="9">
        <v>54.67</v>
      </c>
      <c r="E2997" s="8">
        <v>113</v>
      </c>
    </row>
    <row r="2998" s="3" customFormat="1" ht="18.75" spans="1:5">
      <c r="A2998" s="8" t="str">
        <f t="shared" si="53"/>
        <v>250016</v>
      </c>
      <c r="B2998" s="8" t="str">
        <f>"2561403011201"</f>
        <v>2561403011201</v>
      </c>
      <c r="C2998" s="8" t="s">
        <v>9</v>
      </c>
      <c r="D2998" s="9">
        <v>54.55</v>
      </c>
      <c r="E2998" s="8">
        <v>114</v>
      </c>
    </row>
    <row r="2999" s="3" customFormat="1" ht="18.75" spans="1:5">
      <c r="A2999" s="8" t="str">
        <f t="shared" si="53"/>
        <v>250016</v>
      </c>
      <c r="B2999" s="8" t="str">
        <f>"2561403011204"</f>
        <v>2561403011204</v>
      </c>
      <c r="C2999" s="8" t="s">
        <v>9</v>
      </c>
      <c r="D2999" s="9">
        <v>54.54</v>
      </c>
      <c r="E2999" s="8">
        <v>115</v>
      </c>
    </row>
    <row r="3000" s="3" customFormat="1" ht="18.75" spans="1:5">
      <c r="A3000" s="8" t="str">
        <f t="shared" si="53"/>
        <v>250016</v>
      </c>
      <c r="B3000" s="8" t="str">
        <f>"2561403010903"</f>
        <v>2561403010903</v>
      </c>
      <c r="C3000" s="8" t="s">
        <v>9</v>
      </c>
      <c r="D3000" s="9">
        <v>54.29</v>
      </c>
      <c r="E3000" s="8">
        <v>116</v>
      </c>
    </row>
    <row r="3001" s="3" customFormat="1" ht="18.75" spans="1:5">
      <c r="A3001" s="8" t="str">
        <f t="shared" si="53"/>
        <v>250016</v>
      </c>
      <c r="B3001" s="8" t="str">
        <f>"2561403010723"</f>
        <v>2561403010723</v>
      </c>
      <c r="C3001" s="8" t="s">
        <v>9</v>
      </c>
      <c r="D3001" s="9">
        <v>54.2</v>
      </c>
      <c r="E3001" s="8">
        <v>117</v>
      </c>
    </row>
    <row r="3002" s="3" customFormat="1" ht="18.75" spans="1:5">
      <c r="A3002" s="8" t="str">
        <f t="shared" si="53"/>
        <v>250016</v>
      </c>
      <c r="B3002" s="8" t="str">
        <f>"2561403010611"</f>
        <v>2561403010611</v>
      </c>
      <c r="C3002" s="8" t="s">
        <v>9</v>
      </c>
      <c r="D3002" s="9">
        <v>54.12</v>
      </c>
      <c r="E3002" s="8">
        <v>118</v>
      </c>
    </row>
    <row r="3003" s="3" customFormat="1" ht="18.75" spans="1:5">
      <c r="A3003" s="8" t="str">
        <f t="shared" si="53"/>
        <v>250016</v>
      </c>
      <c r="B3003" s="8" t="str">
        <f>"2561403011024"</f>
        <v>2561403011024</v>
      </c>
      <c r="C3003" s="8" t="s">
        <v>9</v>
      </c>
      <c r="D3003" s="9">
        <v>54.12</v>
      </c>
      <c r="E3003" s="8">
        <v>118</v>
      </c>
    </row>
    <row r="3004" s="3" customFormat="1" ht="18.75" spans="1:5">
      <c r="A3004" s="8" t="str">
        <f t="shared" si="53"/>
        <v>250016</v>
      </c>
      <c r="B3004" s="8" t="str">
        <f>"2561403011316"</f>
        <v>2561403011316</v>
      </c>
      <c r="C3004" s="8" t="s">
        <v>9</v>
      </c>
      <c r="D3004" s="9">
        <v>54.09</v>
      </c>
      <c r="E3004" s="8">
        <v>120</v>
      </c>
    </row>
    <row r="3005" s="3" customFormat="1" ht="18.75" spans="1:5">
      <c r="A3005" s="8" t="str">
        <f t="shared" si="53"/>
        <v>250016</v>
      </c>
      <c r="B3005" s="8" t="str">
        <f>"2561403010617"</f>
        <v>2561403010617</v>
      </c>
      <c r="C3005" s="8" t="s">
        <v>9</v>
      </c>
      <c r="D3005" s="9">
        <v>54.02</v>
      </c>
      <c r="E3005" s="8">
        <v>121</v>
      </c>
    </row>
    <row r="3006" s="3" customFormat="1" ht="18.75" spans="1:5">
      <c r="A3006" s="8" t="str">
        <f t="shared" si="53"/>
        <v>250016</v>
      </c>
      <c r="B3006" s="8" t="str">
        <f>"2561403011229"</f>
        <v>2561403011229</v>
      </c>
      <c r="C3006" s="8" t="s">
        <v>9</v>
      </c>
      <c r="D3006" s="9">
        <v>54.01</v>
      </c>
      <c r="E3006" s="8">
        <v>122</v>
      </c>
    </row>
    <row r="3007" s="3" customFormat="1" ht="18.75" spans="1:5">
      <c r="A3007" s="8" t="str">
        <f t="shared" si="53"/>
        <v>250016</v>
      </c>
      <c r="B3007" s="8" t="str">
        <f>"2561403010608"</f>
        <v>2561403010608</v>
      </c>
      <c r="C3007" s="8" t="s">
        <v>9</v>
      </c>
      <c r="D3007" s="9">
        <v>54</v>
      </c>
      <c r="E3007" s="8">
        <v>123</v>
      </c>
    </row>
    <row r="3008" s="3" customFormat="1" ht="18.75" spans="1:5">
      <c r="A3008" s="8" t="str">
        <f t="shared" si="53"/>
        <v>250016</v>
      </c>
      <c r="B3008" s="8" t="str">
        <f>"2561403011304"</f>
        <v>2561403011304</v>
      </c>
      <c r="C3008" s="8" t="s">
        <v>9</v>
      </c>
      <c r="D3008" s="9">
        <v>53.7</v>
      </c>
      <c r="E3008" s="8">
        <v>124</v>
      </c>
    </row>
    <row r="3009" s="3" customFormat="1" ht="18.75" spans="1:5">
      <c r="A3009" s="8" t="str">
        <f t="shared" si="53"/>
        <v>250016</v>
      </c>
      <c r="B3009" s="8" t="str">
        <f>"2561403010819"</f>
        <v>2561403010819</v>
      </c>
      <c r="C3009" s="8" t="s">
        <v>9</v>
      </c>
      <c r="D3009" s="9">
        <v>53.68</v>
      </c>
      <c r="E3009" s="8">
        <v>125</v>
      </c>
    </row>
    <row r="3010" s="3" customFormat="1" ht="18.75" spans="1:5">
      <c r="A3010" s="8" t="str">
        <f t="shared" si="53"/>
        <v>250016</v>
      </c>
      <c r="B3010" s="8" t="str">
        <f>"2561403011223"</f>
        <v>2561403011223</v>
      </c>
      <c r="C3010" s="8" t="s">
        <v>9</v>
      </c>
      <c r="D3010" s="9">
        <v>53.66</v>
      </c>
      <c r="E3010" s="8">
        <v>126</v>
      </c>
    </row>
    <row r="3011" s="3" customFormat="1" ht="18.75" spans="1:5">
      <c r="A3011" s="8" t="str">
        <f t="shared" si="53"/>
        <v>250016</v>
      </c>
      <c r="B3011" s="8" t="str">
        <f>"2561403010614"</f>
        <v>2561403010614</v>
      </c>
      <c r="C3011" s="8" t="s">
        <v>9</v>
      </c>
      <c r="D3011" s="9">
        <v>53.62</v>
      </c>
      <c r="E3011" s="8">
        <v>127</v>
      </c>
    </row>
    <row r="3012" s="3" customFormat="1" ht="18.75" spans="1:5">
      <c r="A3012" s="8" t="str">
        <f t="shared" si="53"/>
        <v>250016</v>
      </c>
      <c r="B3012" s="8" t="str">
        <f>"2561403010530"</f>
        <v>2561403010530</v>
      </c>
      <c r="C3012" s="8" t="s">
        <v>9</v>
      </c>
      <c r="D3012" s="9">
        <v>53.56</v>
      </c>
      <c r="E3012" s="8">
        <v>128</v>
      </c>
    </row>
    <row r="3013" s="3" customFormat="1" ht="18.75" spans="1:5">
      <c r="A3013" s="8" t="str">
        <f t="shared" ref="A3013:A3076" si="54">"250016"</f>
        <v>250016</v>
      </c>
      <c r="B3013" s="8" t="str">
        <f>"2561403011010"</f>
        <v>2561403011010</v>
      </c>
      <c r="C3013" s="8" t="s">
        <v>9</v>
      </c>
      <c r="D3013" s="9">
        <v>53.55</v>
      </c>
      <c r="E3013" s="8">
        <v>129</v>
      </c>
    </row>
    <row r="3014" s="3" customFormat="1" ht="18.75" spans="1:5">
      <c r="A3014" s="8" t="str">
        <f t="shared" si="54"/>
        <v>250016</v>
      </c>
      <c r="B3014" s="8" t="str">
        <f>"2561403010908"</f>
        <v>2561403010908</v>
      </c>
      <c r="C3014" s="8" t="s">
        <v>9</v>
      </c>
      <c r="D3014" s="9">
        <v>53.42</v>
      </c>
      <c r="E3014" s="8">
        <v>130</v>
      </c>
    </row>
    <row r="3015" s="3" customFormat="1" ht="18.75" spans="1:5">
      <c r="A3015" s="8" t="str">
        <f t="shared" si="54"/>
        <v>250016</v>
      </c>
      <c r="B3015" s="8" t="str">
        <f>"2561403010719"</f>
        <v>2561403010719</v>
      </c>
      <c r="C3015" s="8" t="s">
        <v>9</v>
      </c>
      <c r="D3015" s="9">
        <v>53.26</v>
      </c>
      <c r="E3015" s="8">
        <v>131</v>
      </c>
    </row>
    <row r="3016" s="3" customFormat="1" ht="18.75" spans="1:5">
      <c r="A3016" s="8" t="str">
        <f t="shared" si="54"/>
        <v>250016</v>
      </c>
      <c r="B3016" s="8" t="str">
        <f>"2561403010923"</f>
        <v>2561403010923</v>
      </c>
      <c r="C3016" s="8" t="s">
        <v>9</v>
      </c>
      <c r="D3016" s="9">
        <v>53.26</v>
      </c>
      <c r="E3016" s="8">
        <v>131</v>
      </c>
    </row>
    <row r="3017" s="3" customFormat="1" ht="18.75" spans="1:5">
      <c r="A3017" s="8" t="str">
        <f t="shared" si="54"/>
        <v>250016</v>
      </c>
      <c r="B3017" s="8" t="str">
        <f>"2561403010625"</f>
        <v>2561403010625</v>
      </c>
      <c r="C3017" s="8" t="s">
        <v>9</v>
      </c>
      <c r="D3017" s="9">
        <v>53.17</v>
      </c>
      <c r="E3017" s="8">
        <v>133</v>
      </c>
    </row>
    <row r="3018" s="3" customFormat="1" ht="18.75" spans="1:5">
      <c r="A3018" s="8" t="str">
        <f t="shared" si="54"/>
        <v>250016</v>
      </c>
      <c r="B3018" s="8" t="str">
        <f>"2561403011007"</f>
        <v>2561403011007</v>
      </c>
      <c r="C3018" s="8" t="s">
        <v>9</v>
      </c>
      <c r="D3018" s="9">
        <v>53.06</v>
      </c>
      <c r="E3018" s="8">
        <v>134</v>
      </c>
    </row>
    <row r="3019" s="3" customFormat="1" ht="18.75" spans="1:5">
      <c r="A3019" s="8" t="str">
        <f t="shared" si="54"/>
        <v>250016</v>
      </c>
      <c r="B3019" s="8" t="str">
        <f>"2561403011313"</f>
        <v>2561403011313</v>
      </c>
      <c r="C3019" s="8" t="s">
        <v>9</v>
      </c>
      <c r="D3019" s="9">
        <v>53.01</v>
      </c>
      <c r="E3019" s="8">
        <v>135</v>
      </c>
    </row>
    <row r="3020" s="3" customFormat="1" ht="18.75" spans="1:5">
      <c r="A3020" s="8" t="str">
        <f t="shared" si="54"/>
        <v>250016</v>
      </c>
      <c r="B3020" s="8" t="str">
        <f>"2561403010714"</f>
        <v>2561403010714</v>
      </c>
      <c r="C3020" s="8" t="s">
        <v>9</v>
      </c>
      <c r="D3020" s="9">
        <v>52.82</v>
      </c>
      <c r="E3020" s="8">
        <v>136</v>
      </c>
    </row>
    <row r="3021" s="3" customFormat="1" ht="18.75" spans="1:5">
      <c r="A3021" s="8" t="str">
        <f t="shared" si="54"/>
        <v>250016</v>
      </c>
      <c r="B3021" s="8" t="str">
        <f>"2561403011222"</f>
        <v>2561403011222</v>
      </c>
      <c r="C3021" s="8" t="s">
        <v>9</v>
      </c>
      <c r="D3021" s="9">
        <v>52.41</v>
      </c>
      <c r="E3021" s="8">
        <v>137</v>
      </c>
    </row>
    <row r="3022" s="3" customFormat="1" ht="18.75" spans="1:5">
      <c r="A3022" s="8" t="str">
        <f t="shared" si="54"/>
        <v>250016</v>
      </c>
      <c r="B3022" s="8" t="str">
        <f>"2561403010808"</f>
        <v>2561403010808</v>
      </c>
      <c r="C3022" s="8" t="s">
        <v>9</v>
      </c>
      <c r="D3022" s="9">
        <v>52.37</v>
      </c>
      <c r="E3022" s="8">
        <v>138</v>
      </c>
    </row>
    <row r="3023" s="3" customFormat="1" ht="18.75" spans="1:5">
      <c r="A3023" s="8" t="str">
        <f t="shared" si="54"/>
        <v>250016</v>
      </c>
      <c r="B3023" s="8" t="str">
        <f>"2561403011122"</f>
        <v>2561403011122</v>
      </c>
      <c r="C3023" s="8" t="s">
        <v>9</v>
      </c>
      <c r="D3023" s="9">
        <v>52.37</v>
      </c>
      <c r="E3023" s="8">
        <v>138</v>
      </c>
    </row>
    <row r="3024" s="3" customFormat="1" ht="18.75" spans="1:5">
      <c r="A3024" s="8" t="str">
        <f t="shared" si="54"/>
        <v>250016</v>
      </c>
      <c r="B3024" s="8" t="str">
        <f>"2561403011106"</f>
        <v>2561403011106</v>
      </c>
      <c r="C3024" s="8" t="s">
        <v>9</v>
      </c>
      <c r="D3024" s="9">
        <v>52.36</v>
      </c>
      <c r="E3024" s="8">
        <v>140</v>
      </c>
    </row>
    <row r="3025" s="3" customFormat="1" ht="18.75" spans="1:5">
      <c r="A3025" s="8" t="str">
        <f t="shared" si="54"/>
        <v>250016</v>
      </c>
      <c r="B3025" s="8" t="str">
        <f>"2561403011315"</f>
        <v>2561403011315</v>
      </c>
      <c r="C3025" s="8" t="s">
        <v>9</v>
      </c>
      <c r="D3025" s="9">
        <v>52.33</v>
      </c>
      <c r="E3025" s="8">
        <v>141</v>
      </c>
    </row>
    <row r="3026" s="3" customFormat="1" ht="18.75" spans="1:5">
      <c r="A3026" s="8" t="str">
        <f t="shared" si="54"/>
        <v>250016</v>
      </c>
      <c r="B3026" s="8" t="str">
        <f>"2561403010721"</f>
        <v>2561403010721</v>
      </c>
      <c r="C3026" s="8" t="s">
        <v>9</v>
      </c>
      <c r="D3026" s="9">
        <v>52.2</v>
      </c>
      <c r="E3026" s="8">
        <v>142</v>
      </c>
    </row>
    <row r="3027" s="3" customFormat="1" ht="18.75" spans="1:5">
      <c r="A3027" s="8" t="str">
        <f t="shared" si="54"/>
        <v>250016</v>
      </c>
      <c r="B3027" s="8" t="str">
        <f>"2561403011302"</f>
        <v>2561403011302</v>
      </c>
      <c r="C3027" s="8" t="s">
        <v>9</v>
      </c>
      <c r="D3027" s="9">
        <v>51.97</v>
      </c>
      <c r="E3027" s="8">
        <v>143</v>
      </c>
    </row>
    <row r="3028" s="3" customFormat="1" ht="18.75" spans="1:5">
      <c r="A3028" s="8" t="str">
        <f t="shared" si="54"/>
        <v>250016</v>
      </c>
      <c r="B3028" s="8" t="str">
        <f>"2561403010703"</f>
        <v>2561403010703</v>
      </c>
      <c r="C3028" s="8" t="s">
        <v>9</v>
      </c>
      <c r="D3028" s="9">
        <v>51.62</v>
      </c>
      <c r="E3028" s="8">
        <v>144</v>
      </c>
    </row>
    <row r="3029" s="3" customFormat="1" ht="18.75" spans="1:5">
      <c r="A3029" s="8" t="str">
        <f t="shared" si="54"/>
        <v>250016</v>
      </c>
      <c r="B3029" s="8" t="str">
        <f>"2561403010820"</f>
        <v>2561403010820</v>
      </c>
      <c r="C3029" s="8" t="s">
        <v>9</v>
      </c>
      <c r="D3029" s="9">
        <v>51.55</v>
      </c>
      <c r="E3029" s="8">
        <v>145</v>
      </c>
    </row>
    <row r="3030" s="3" customFormat="1" ht="18.75" spans="1:5">
      <c r="A3030" s="8" t="str">
        <f t="shared" si="54"/>
        <v>250016</v>
      </c>
      <c r="B3030" s="8" t="str">
        <f>"2561403010818"</f>
        <v>2561403010818</v>
      </c>
      <c r="C3030" s="8" t="s">
        <v>9</v>
      </c>
      <c r="D3030" s="9">
        <v>51.29</v>
      </c>
      <c r="E3030" s="8">
        <v>146</v>
      </c>
    </row>
    <row r="3031" s="3" customFormat="1" ht="18.75" spans="1:5">
      <c r="A3031" s="8" t="str">
        <f t="shared" si="54"/>
        <v>250016</v>
      </c>
      <c r="B3031" s="8" t="str">
        <f>"2561403010914"</f>
        <v>2561403010914</v>
      </c>
      <c r="C3031" s="8" t="s">
        <v>9</v>
      </c>
      <c r="D3031" s="9">
        <v>50.97</v>
      </c>
      <c r="E3031" s="8">
        <v>147</v>
      </c>
    </row>
    <row r="3032" s="3" customFormat="1" ht="18.75" spans="1:5">
      <c r="A3032" s="8" t="str">
        <f t="shared" si="54"/>
        <v>250016</v>
      </c>
      <c r="B3032" s="8" t="str">
        <f>"2561403010912"</f>
        <v>2561403010912</v>
      </c>
      <c r="C3032" s="8" t="s">
        <v>9</v>
      </c>
      <c r="D3032" s="9">
        <v>50.75</v>
      </c>
      <c r="E3032" s="8">
        <v>148</v>
      </c>
    </row>
    <row r="3033" s="3" customFormat="1" ht="18.75" spans="1:5">
      <c r="A3033" s="8" t="str">
        <f t="shared" si="54"/>
        <v>250016</v>
      </c>
      <c r="B3033" s="8" t="str">
        <f>"2561403010509"</f>
        <v>2561403010509</v>
      </c>
      <c r="C3033" s="8" t="s">
        <v>9</v>
      </c>
      <c r="D3033" s="9">
        <v>50.71</v>
      </c>
      <c r="E3033" s="8">
        <v>149</v>
      </c>
    </row>
    <row r="3034" s="3" customFormat="1" ht="18.75" spans="1:5">
      <c r="A3034" s="8" t="str">
        <f t="shared" si="54"/>
        <v>250016</v>
      </c>
      <c r="B3034" s="8" t="str">
        <f>"2561403011011"</f>
        <v>2561403011011</v>
      </c>
      <c r="C3034" s="8" t="s">
        <v>9</v>
      </c>
      <c r="D3034" s="9">
        <v>50.6</v>
      </c>
      <c r="E3034" s="8">
        <v>150</v>
      </c>
    </row>
    <row r="3035" s="3" customFormat="1" ht="18.75" spans="1:5">
      <c r="A3035" s="8" t="str">
        <f t="shared" si="54"/>
        <v>250016</v>
      </c>
      <c r="B3035" s="8" t="str">
        <f>"2561403010701"</f>
        <v>2561403010701</v>
      </c>
      <c r="C3035" s="8" t="s">
        <v>9</v>
      </c>
      <c r="D3035" s="9">
        <v>50.38</v>
      </c>
      <c r="E3035" s="8">
        <v>151</v>
      </c>
    </row>
    <row r="3036" s="3" customFormat="1" ht="18.75" spans="1:5">
      <c r="A3036" s="8" t="str">
        <f t="shared" si="54"/>
        <v>250016</v>
      </c>
      <c r="B3036" s="8" t="str">
        <f>"2561403010516"</f>
        <v>2561403010516</v>
      </c>
      <c r="C3036" s="8" t="s">
        <v>9</v>
      </c>
      <c r="D3036" s="9">
        <v>49.63</v>
      </c>
      <c r="E3036" s="8">
        <v>152</v>
      </c>
    </row>
    <row r="3037" s="3" customFormat="1" ht="18.75" spans="1:5">
      <c r="A3037" s="8" t="str">
        <f t="shared" si="54"/>
        <v>250016</v>
      </c>
      <c r="B3037" s="8" t="str">
        <f>"2561403010613"</f>
        <v>2561403010613</v>
      </c>
      <c r="C3037" s="8" t="s">
        <v>9</v>
      </c>
      <c r="D3037" s="9">
        <v>49.57</v>
      </c>
      <c r="E3037" s="8">
        <v>153</v>
      </c>
    </row>
    <row r="3038" s="3" customFormat="1" ht="18.75" spans="1:5">
      <c r="A3038" s="8" t="str">
        <f t="shared" si="54"/>
        <v>250016</v>
      </c>
      <c r="B3038" s="8" t="str">
        <f>"2561403010529"</f>
        <v>2561403010529</v>
      </c>
      <c r="C3038" s="8" t="s">
        <v>9</v>
      </c>
      <c r="D3038" s="9">
        <v>49.39</v>
      </c>
      <c r="E3038" s="8">
        <v>154</v>
      </c>
    </row>
    <row r="3039" s="3" customFormat="1" ht="18.75" spans="1:5">
      <c r="A3039" s="8" t="str">
        <f t="shared" si="54"/>
        <v>250016</v>
      </c>
      <c r="B3039" s="8" t="str">
        <f>"2561403010627"</f>
        <v>2561403010627</v>
      </c>
      <c r="C3039" s="8" t="s">
        <v>9</v>
      </c>
      <c r="D3039" s="9">
        <v>48.68</v>
      </c>
      <c r="E3039" s="8">
        <v>155</v>
      </c>
    </row>
    <row r="3040" s="3" customFormat="1" ht="18.75" spans="1:5">
      <c r="A3040" s="8" t="str">
        <f t="shared" si="54"/>
        <v>250016</v>
      </c>
      <c r="B3040" s="8" t="str">
        <f>"2561403010803"</f>
        <v>2561403010803</v>
      </c>
      <c r="C3040" s="8" t="s">
        <v>9</v>
      </c>
      <c r="D3040" s="9">
        <v>48.47</v>
      </c>
      <c r="E3040" s="8">
        <v>156</v>
      </c>
    </row>
    <row r="3041" s="3" customFormat="1" ht="18.75" spans="1:5">
      <c r="A3041" s="8" t="str">
        <f t="shared" si="54"/>
        <v>250016</v>
      </c>
      <c r="B3041" s="8" t="str">
        <f>"2561403010809"</f>
        <v>2561403010809</v>
      </c>
      <c r="C3041" s="8" t="s">
        <v>9</v>
      </c>
      <c r="D3041" s="9">
        <v>48.31</v>
      </c>
      <c r="E3041" s="8">
        <v>157</v>
      </c>
    </row>
    <row r="3042" s="3" customFormat="1" ht="18.75" spans="1:5">
      <c r="A3042" s="8" t="str">
        <f t="shared" si="54"/>
        <v>250016</v>
      </c>
      <c r="B3042" s="8" t="str">
        <f>"2561403010512"</f>
        <v>2561403010512</v>
      </c>
      <c r="C3042" s="8" t="s">
        <v>9</v>
      </c>
      <c r="D3042" s="9">
        <v>48.06</v>
      </c>
      <c r="E3042" s="8">
        <v>158</v>
      </c>
    </row>
    <row r="3043" s="3" customFormat="1" ht="18.75" spans="1:5">
      <c r="A3043" s="8" t="str">
        <f t="shared" si="54"/>
        <v>250016</v>
      </c>
      <c r="B3043" s="8" t="str">
        <f>"2561403010821"</f>
        <v>2561403010821</v>
      </c>
      <c r="C3043" s="8" t="s">
        <v>9</v>
      </c>
      <c r="D3043" s="9">
        <v>47.97</v>
      </c>
      <c r="E3043" s="8">
        <v>159</v>
      </c>
    </row>
    <row r="3044" s="3" customFormat="1" ht="18.75" spans="1:5">
      <c r="A3044" s="8" t="str">
        <f t="shared" si="54"/>
        <v>250016</v>
      </c>
      <c r="B3044" s="8" t="str">
        <f>"2561403011216"</f>
        <v>2561403011216</v>
      </c>
      <c r="C3044" s="8" t="s">
        <v>9</v>
      </c>
      <c r="D3044" s="9">
        <v>47.71</v>
      </c>
      <c r="E3044" s="8">
        <v>160</v>
      </c>
    </row>
    <row r="3045" s="3" customFormat="1" ht="18.75" spans="1:5">
      <c r="A3045" s="8" t="str">
        <f t="shared" si="54"/>
        <v>250016</v>
      </c>
      <c r="B3045" s="8" t="str">
        <f>"2561403010829"</f>
        <v>2561403010829</v>
      </c>
      <c r="C3045" s="8" t="s">
        <v>9</v>
      </c>
      <c r="D3045" s="9">
        <v>47.59</v>
      </c>
      <c r="E3045" s="8">
        <v>161</v>
      </c>
    </row>
    <row r="3046" s="3" customFormat="1" ht="18.75" spans="1:5">
      <c r="A3046" s="8" t="str">
        <f t="shared" si="54"/>
        <v>250016</v>
      </c>
      <c r="B3046" s="8" t="str">
        <f>"2561403010717"</f>
        <v>2561403010717</v>
      </c>
      <c r="C3046" s="8" t="s">
        <v>9</v>
      </c>
      <c r="D3046" s="9">
        <v>47.28</v>
      </c>
      <c r="E3046" s="8">
        <v>162</v>
      </c>
    </row>
    <row r="3047" s="3" customFormat="1" ht="18.75" spans="1:5">
      <c r="A3047" s="8" t="str">
        <f t="shared" si="54"/>
        <v>250016</v>
      </c>
      <c r="B3047" s="8" t="str">
        <f>"2561403010915"</f>
        <v>2561403010915</v>
      </c>
      <c r="C3047" s="8" t="s">
        <v>9</v>
      </c>
      <c r="D3047" s="9">
        <v>45.89</v>
      </c>
      <c r="E3047" s="8">
        <v>163</v>
      </c>
    </row>
    <row r="3048" s="3" customFormat="1" ht="18.75" spans="1:5">
      <c r="A3048" s="8" t="str">
        <f t="shared" si="54"/>
        <v>250016</v>
      </c>
      <c r="B3048" s="8" t="str">
        <f>"2561403011004"</f>
        <v>2561403011004</v>
      </c>
      <c r="C3048" s="8" t="s">
        <v>9</v>
      </c>
      <c r="D3048" s="9">
        <v>45.74</v>
      </c>
      <c r="E3048" s="8">
        <v>164</v>
      </c>
    </row>
    <row r="3049" s="3" customFormat="1" ht="18.75" spans="1:5">
      <c r="A3049" s="8" t="str">
        <f t="shared" si="54"/>
        <v>250016</v>
      </c>
      <c r="B3049" s="8" t="str">
        <f>"2561403010802"</f>
        <v>2561403010802</v>
      </c>
      <c r="C3049" s="8" t="s">
        <v>9</v>
      </c>
      <c r="D3049" s="9">
        <v>45.5</v>
      </c>
      <c r="E3049" s="8">
        <v>165</v>
      </c>
    </row>
    <row r="3050" s="3" customFormat="1" ht="18.75" spans="1:5">
      <c r="A3050" s="8" t="str">
        <f t="shared" si="54"/>
        <v>250016</v>
      </c>
      <c r="B3050" s="8" t="str">
        <f>"2561403010712"</f>
        <v>2561403010712</v>
      </c>
      <c r="C3050" s="8" t="s">
        <v>9</v>
      </c>
      <c r="D3050" s="9">
        <v>44.93</v>
      </c>
      <c r="E3050" s="8">
        <v>166</v>
      </c>
    </row>
    <row r="3051" s="3" customFormat="1" ht="18.75" spans="1:5">
      <c r="A3051" s="8" t="str">
        <f t="shared" si="54"/>
        <v>250016</v>
      </c>
      <c r="B3051" s="8" t="str">
        <f>"2561403010511"</f>
        <v>2561403010511</v>
      </c>
      <c r="C3051" s="8" t="s">
        <v>9</v>
      </c>
      <c r="D3051" s="9">
        <v>44.9</v>
      </c>
      <c r="E3051" s="8">
        <v>167</v>
      </c>
    </row>
    <row r="3052" s="3" customFormat="1" ht="18.75" spans="1:5">
      <c r="A3052" s="8" t="str">
        <f t="shared" si="54"/>
        <v>250016</v>
      </c>
      <c r="B3052" s="8" t="str">
        <f>"2561403010612"</f>
        <v>2561403010612</v>
      </c>
      <c r="C3052" s="8" t="s">
        <v>9</v>
      </c>
      <c r="D3052" s="9">
        <v>44.6</v>
      </c>
      <c r="E3052" s="8">
        <v>168</v>
      </c>
    </row>
    <row r="3053" s="3" customFormat="1" ht="18.75" spans="1:5">
      <c r="A3053" s="8" t="str">
        <f t="shared" si="54"/>
        <v>250016</v>
      </c>
      <c r="B3053" s="8" t="str">
        <f>"2561403011211"</f>
        <v>2561403011211</v>
      </c>
      <c r="C3053" s="8" t="s">
        <v>9</v>
      </c>
      <c r="D3053" s="9">
        <v>44.58</v>
      </c>
      <c r="E3053" s="8">
        <v>169</v>
      </c>
    </row>
    <row r="3054" s="3" customFormat="1" ht="18.75" spans="1:5">
      <c r="A3054" s="8" t="str">
        <f t="shared" si="54"/>
        <v>250016</v>
      </c>
      <c r="B3054" s="8" t="str">
        <f>"2561403011014"</f>
        <v>2561403011014</v>
      </c>
      <c r="C3054" s="8" t="s">
        <v>9</v>
      </c>
      <c r="D3054" s="9">
        <v>43.54</v>
      </c>
      <c r="E3054" s="8">
        <v>170</v>
      </c>
    </row>
    <row r="3055" s="3" customFormat="1" ht="18.75" spans="1:5">
      <c r="A3055" s="8" t="str">
        <f t="shared" si="54"/>
        <v>250016</v>
      </c>
      <c r="B3055" s="8" t="str">
        <f>"2561403010522"</f>
        <v>2561403010522</v>
      </c>
      <c r="C3055" s="8" t="s">
        <v>9</v>
      </c>
      <c r="D3055" s="9">
        <v>42.96</v>
      </c>
      <c r="E3055" s="8">
        <v>171</v>
      </c>
    </row>
    <row r="3056" s="3" customFormat="1" ht="18.75" spans="1:5">
      <c r="A3056" s="8" t="str">
        <f t="shared" si="54"/>
        <v>250016</v>
      </c>
      <c r="B3056" s="8" t="str">
        <f>"2561403010601"</f>
        <v>2561403010601</v>
      </c>
      <c r="C3056" s="8" t="s">
        <v>9</v>
      </c>
      <c r="D3056" s="9">
        <v>42.92</v>
      </c>
      <c r="E3056" s="8">
        <v>172</v>
      </c>
    </row>
    <row r="3057" s="3" customFormat="1" ht="18.75" spans="1:5">
      <c r="A3057" s="8" t="str">
        <f t="shared" si="54"/>
        <v>250016</v>
      </c>
      <c r="B3057" s="8" t="str">
        <f>"2561403010724"</f>
        <v>2561403010724</v>
      </c>
      <c r="C3057" s="8" t="s">
        <v>9</v>
      </c>
      <c r="D3057" s="9">
        <v>42.56</v>
      </c>
      <c r="E3057" s="8">
        <v>173</v>
      </c>
    </row>
    <row r="3058" s="3" customFormat="1" ht="18.75" spans="1:5">
      <c r="A3058" s="8" t="str">
        <f t="shared" si="54"/>
        <v>250016</v>
      </c>
      <c r="B3058" s="8" t="str">
        <f>"2561403010621"</f>
        <v>2561403010621</v>
      </c>
      <c r="C3058" s="8" t="s">
        <v>9</v>
      </c>
      <c r="D3058" s="9">
        <v>40.49</v>
      </c>
      <c r="E3058" s="8">
        <v>174</v>
      </c>
    </row>
    <row r="3059" s="3" customFormat="1" ht="18.75" spans="1:5">
      <c r="A3059" s="8" t="str">
        <f t="shared" si="54"/>
        <v>250016</v>
      </c>
      <c r="B3059" s="8" t="str">
        <f>"2561403010816"</f>
        <v>2561403010816</v>
      </c>
      <c r="C3059" s="8" t="s">
        <v>9</v>
      </c>
      <c r="D3059" s="9">
        <v>39.88</v>
      </c>
      <c r="E3059" s="8">
        <v>175</v>
      </c>
    </row>
    <row r="3060" s="3" customFormat="1" ht="18.75" spans="1:5">
      <c r="A3060" s="8" t="str">
        <f t="shared" si="54"/>
        <v>250016</v>
      </c>
      <c r="B3060" s="8" t="str">
        <f>"2561403010630"</f>
        <v>2561403010630</v>
      </c>
      <c r="C3060" s="8" t="s">
        <v>9</v>
      </c>
      <c r="D3060" s="9">
        <v>37.78</v>
      </c>
      <c r="E3060" s="8">
        <v>176</v>
      </c>
    </row>
    <row r="3061" s="3" customFormat="1" ht="18.75" spans="1:5">
      <c r="A3061" s="8" t="str">
        <f t="shared" si="54"/>
        <v>250016</v>
      </c>
      <c r="B3061" s="8" t="str">
        <f>"2561403010727"</f>
        <v>2561403010727</v>
      </c>
      <c r="C3061" s="8" t="s">
        <v>9</v>
      </c>
      <c r="D3061" s="9">
        <v>36.77</v>
      </c>
      <c r="E3061" s="8">
        <v>177</v>
      </c>
    </row>
    <row r="3062" s="3" customFormat="1" ht="18.75" spans="1:5">
      <c r="A3062" s="8" t="str">
        <f t="shared" si="54"/>
        <v>250016</v>
      </c>
      <c r="B3062" s="8" t="str">
        <f>"2561403010904"</f>
        <v>2561403010904</v>
      </c>
      <c r="C3062" s="8" t="s">
        <v>9</v>
      </c>
      <c r="D3062" s="9">
        <v>36.39</v>
      </c>
      <c r="E3062" s="8">
        <v>178</v>
      </c>
    </row>
    <row r="3063" s="3" customFormat="1" ht="18.75" spans="1:5">
      <c r="A3063" s="8" t="str">
        <f t="shared" si="54"/>
        <v>250016</v>
      </c>
      <c r="B3063" s="8" t="str">
        <f>"2561403011213"</f>
        <v>2561403011213</v>
      </c>
      <c r="C3063" s="8" t="s">
        <v>9</v>
      </c>
      <c r="D3063" s="9">
        <v>35.91</v>
      </c>
      <c r="E3063" s="8">
        <v>179</v>
      </c>
    </row>
    <row r="3064" s="3" customFormat="1" ht="18.75" spans="1:5">
      <c r="A3064" s="8" t="str">
        <f t="shared" si="54"/>
        <v>250016</v>
      </c>
      <c r="B3064" s="8" t="str">
        <f>"2561403010926"</f>
        <v>2561403010926</v>
      </c>
      <c r="C3064" s="8" t="s">
        <v>9</v>
      </c>
      <c r="D3064" s="9">
        <v>34.77</v>
      </c>
      <c r="E3064" s="8">
        <v>180</v>
      </c>
    </row>
    <row r="3065" s="3" customFormat="1" ht="18.75" spans="1:5">
      <c r="A3065" s="8" t="str">
        <f t="shared" si="54"/>
        <v>250016</v>
      </c>
      <c r="B3065" s="8" t="str">
        <f>"2561403010922"</f>
        <v>2561403010922</v>
      </c>
      <c r="C3065" s="8" t="s">
        <v>9</v>
      </c>
      <c r="D3065" s="9">
        <v>32.76</v>
      </c>
      <c r="E3065" s="8">
        <v>181</v>
      </c>
    </row>
    <row r="3066" s="3" customFormat="1" ht="18.75" spans="1:5">
      <c r="A3066" s="8" t="str">
        <f t="shared" si="54"/>
        <v>250016</v>
      </c>
      <c r="B3066" s="8" t="str">
        <f>"2561403011218"</f>
        <v>2561403011218</v>
      </c>
      <c r="C3066" s="8" t="s">
        <v>9</v>
      </c>
      <c r="D3066" s="9">
        <v>31.26</v>
      </c>
      <c r="E3066" s="8">
        <v>182</v>
      </c>
    </row>
    <row r="3067" s="3" customFormat="1" ht="18.75" spans="1:5">
      <c r="A3067" s="8" t="str">
        <f t="shared" si="54"/>
        <v>250016</v>
      </c>
      <c r="B3067" s="8" t="str">
        <f>"2561403011230"</f>
        <v>2561403011230</v>
      </c>
      <c r="C3067" s="8" t="s">
        <v>9</v>
      </c>
      <c r="D3067" s="9">
        <v>31.25</v>
      </c>
      <c r="E3067" s="8">
        <v>183</v>
      </c>
    </row>
    <row r="3068" s="3" customFormat="1" ht="18.75" spans="1:5">
      <c r="A3068" s="8" t="str">
        <f t="shared" si="54"/>
        <v>250016</v>
      </c>
      <c r="B3068" s="8" t="str">
        <f>"2561403010827"</f>
        <v>2561403010827</v>
      </c>
      <c r="C3068" s="8" t="s">
        <v>9</v>
      </c>
      <c r="D3068" s="9">
        <v>22.4</v>
      </c>
      <c r="E3068" s="8">
        <v>184</v>
      </c>
    </row>
    <row r="3069" s="3" customFormat="1" ht="18.75" spans="1:5">
      <c r="A3069" s="8" t="str">
        <f t="shared" si="54"/>
        <v>250016</v>
      </c>
      <c r="B3069" s="8" t="str">
        <f>"2561403010514"</f>
        <v>2561403010514</v>
      </c>
      <c r="C3069" s="8" t="s">
        <v>9</v>
      </c>
      <c r="D3069" s="9">
        <v>0</v>
      </c>
      <c r="E3069" s="8">
        <v>185</v>
      </c>
    </row>
    <row r="3070" s="3" customFormat="1" ht="18.75" spans="1:5">
      <c r="A3070" s="8" t="str">
        <f t="shared" si="54"/>
        <v>250016</v>
      </c>
      <c r="B3070" s="8" t="str">
        <f>"2561403010515"</f>
        <v>2561403010515</v>
      </c>
      <c r="C3070" s="8" t="s">
        <v>9</v>
      </c>
      <c r="D3070" s="9">
        <v>0</v>
      </c>
      <c r="E3070" s="8">
        <v>185</v>
      </c>
    </row>
    <row r="3071" s="3" customFormat="1" ht="18.75" spans="1:5">
      <c r="A3071" s="8" t="str">
        <f t="shared" si="54"/>
        <v>250016</v>
      </c>
      <c r="B3071" s="8" t="str">
        <f>"2561403010517"</f>
        <v>2561403010517</v>
      </c>
      <c r="C3071" s="8" t="s">
        <v>9</v>
      </c>
      <c r="D3071" s="9">
        <v>0</v>
      </c>
      <c r="E3071" s="8">
        <v>185</v>
      </c>
    </row>
    <row r="3072" s="3" customFormat="1" ht="18.75" spans="1:5">
      <c r="A3072" s="8" t="str">
        <f t="shared" si="54"/>
        <v>250016</v>
      </c>
      <c r="B3072" s="8" t="str">
        <f>"2561403010519"</f>
        <v>2561403010519</v>
      </c>
      <c r="C3072" s="8" t="s">
        <v>9</v>
      </c>
      <c r="D3072" s="9">
        <v>0</v>
      </c>
      <c r="E3072" s="8">
        <v>185</v>
      </c>
    </row>
    <row r="3073" s="3" customFormat="1" ht="18.75" spans="1:5">
      <c r="A3073" s="8" t="str">
        <f t="shared" si="54"/>
        <v>250016</v>
      </c>
      <c r="B3073" s="8" t="str">
        <f>"2561403010602"</f>
        <v>2561403010602</v>
      </c>
      <c r="C3073" s="8" t="s">
        <v>9</v>
      </c>
      <c r="D3073" s="9">
        <v>0</v>
      </c>
      <c r="E3073" s="8">
        <v>185</v>
      </c>
    </row>
    <row r="3074" s="3" customFormat="1" ht="18.75" spans="1:5">
      <c r="A3074" s="8" t="str">
        <f t="shared" si="54"/>
        <v>250016</v>
      </c>
      <c r="B3074" s="8" t="str">
        <f>"2561403010603"</f>
        <v>2561403010603</v>
      </c>
      <c r="C3074" s="8" t="s">
        <v>9</v>
      </c>
      <c r="D3074" s="9">
        <v>0</v>
      </c>
      <c r="E3074" s="8">
        <v>185</v>
      </c>
    </row>
    <row r="3075" s="3" customFormat="1" ht="18.75" spans="1:5">
      <c r="A3075" s="8" t="str">
        <f t="shared" si="54"/>
        <v>250016</v>
      </c>
      <c r="B3075" s="8" t="str">
        <f>"2561403010605"</f>
        <v>2561403010605</v>
      </c>
      <c r="C3075" s="8" t="s">
        <v>9</v>
      </c>
      <c r="D3075" s="9">
        <v>0</v>
      </c>
      <c r="E3075" s="8">
        <v>185</v>
      </c>
    </row>
    <row r="3076" s="3" customFormat="1" ht="18.75" spans="1:5">
      <c r="A3076" s="8" t="str">
        <f t="shared" si="54"/>
        <v>250016</v>
      </c>
      <c r="B3076" s="8" t="str">
        <f>"2561403010607"</f>
        <v>2561403010607</v>
      </c>
      <c r="C3076" s="8" t="s">
        <v>9</v>
      </c>
      <c r="D3076" s="9">
        <v>0</v>
      </c>
      <c r="E3076" s="8">
        <v>185</v>
      </c>
    </row>
    <row r="3077" s="3" customFormat="1" ht="18.75" spans="1:5">
      <c r="A3077" s="8" t="str">
        <f t="shared" ref="A3077:A3136" si="55">"250016"</f>
        <v>250016</v>
      </c>
      <c r="B3077" s="8" t="str">
        <f>"2561403010609"</f>
        <v>2561403010609</v>
      </c>
      <c r="C3077" s="8" t="s">
        <v>9</v>
      </c>
      <c r="D3077" s="9">
        <v>0</v>
      </c>
      <c r="E3077" s="8">
        <v>185</v>
      </c>
    </row>
    <row r="3078" s="3" customFormat="1" ht="18.75" spans="1:5">
      <c r="A3078" s="8" t="str">
        <f t="shared" si="55"/>
        <v>250016</v>
      </c>
      <c r="B3078" s="8" t="str">
        <f>"2561403010615"</f>
        <v>2561403010615</v>
      </c>
      <c r="C3078" s="8" t="s">
        <v>9</v>
      </c>
      <c r="D3078" s="9">
        <v>0</v>
      </c>
      <c r="E3078" s="8">
        <v>185</v>
      </c>
    </row>
    <row r="3079" s="3" customFormat="1" ht="18.75" spans="1:5">
      <c r="A3079" s="8" t="str">
        <f t="shared" si="55"/>
        <v>250016</v>
      </c>
      <c r="B3079" s="8" t="str">
        <f>"2561403010618"</f>
        <v>2561403010618</v>
      </c>
      <c r="C3079" s="8" t="s">
        <v>9</v>
      </c>
      <c r="D3079" s="9">
        <v>0</v>
      </c>
      <c r="E3079" s="8">
        <v>185</v>
      </c>
    </row>
    <row r="3080" s="3" customFormat="1" ht="18.75" spans="1:5">
      <c r="A3080" s="8" t="str">
        <f t="shared" si="55"/>
        <v>250016</v>
      </c>
      <c r="B3080" s="8" t="str">
        <f>"2561403010619"</f>
        <v>2561403010619</v>
      </c>
      <c r="C3080" s="8" t="s">
        <v>9</v>
      </c>
      <c r="D3080" s="9">
        <v>0</v>
      </c>
      <c r="E3080" s="8">
        <v>185</v>
      </c>
    </row>
    <row r="3081" s="3" customFormat="1" ht="18.75" spans="1:5">
      <c r="A3081" s="8" t="str">
        <f t="shared" si="55"/>
        <v>250016</v>
      </c>
      <c r="B3081" s="8" t="str">
        <f>"2561403010704"</f>
        <v>2561403010704</v>
      </c>
      <c r="C3081" s="8" t="s">
        <v>9</v>
      </c>
      <c r="D3081" s="9">
        <v>0</v>
      </c>
      <c r="E3081" s="8">
        <v>185</v>
      </c>
    </row>
    <row r="3082" s="3" customFormat="1" ht="18.75" spans="1:5">
      <c r="A3082" s="8" t="str">
        <f t="shared" si="55"/>
        <v>250016</v>
      </c>
      <c r="B3082" s="8" t="str">
        <f>"2561403010709"</f>
        <v>2561403010709</v>
      </c>
      <c r="C3082" s="8" t="s">
        <v>9</v>
      </c>
      <c r="D3082" s="9">
        <v>0</v>
      </c>
      <c r="E3082" s="8">
        <v>185</v>
      </c>
    </row>
    <row r="3083" s="3" customFormat="1" ht="18.75" spans="1:5">
      <c r="A3083" s="8" t="str">
        <f t="shared" si="55"/>
        <v>250016</v>
      </c>
      <c r="B3083" s="8" t="str">
        <f>"2561403010711"</f>
        <v>2561403010711</v>
      </c>
      <c r="C3083" s="8" t="s">
        <v>9</v>
      </c>
      <c r="D3083" s="9">
        <v>0</v>
      </c>
      <c r="E3083" s="8">
        <v>185</v>
      </c>
    </row>
    <row r="3084" s="3" customFormat="1" ht="18.75" spans="1:5">
      <c r="A3084" s="8" t="str">
        <f t="shared" si="55"/>
        <v>250016</v>
      </c>
      <c r="B3084" s="8" t="str">
        <f>"2561403010801"</f>
        <v>2561403010801</v>
      </c>
      <c r="C3084" s="8" t="s">
        <v>9</v>
      </c>
      <c r="D3084" s="9">
        <v>0</v>
      </c>
      <c r="E3084" s="8">
        <v>185</v>
      </c>
    </row>
    <row r="3085" s="3" customFormat="1" ht="18.75" spans="1:5">
      <c r="A3085" s="8" t="str">
        <f t="shared" si="55"/>
        <v>250016</v>
      </c>
      <c r="B3085" s="8" t="str">
        <f>"2561403010804"</f>
        <v>2561403010804</v>
      </c>
      <c r="C3085" s="8" t="s">
        <v>9</v>
      </c>
      <c r="D3085" s="9">
        <v>0</v>
      </c>
      <c r="E3085" s="8">
        <v>185</v>
      </c>
    </row>
    <row r="3086" s="3" customFormat="1" ht="18.75" spans="1:5">
      <c r="A3086" s="8" t="str">
        <f t="shared" si="55"/>
        <v>250016</v>
      </c>
      <c r="B3086" s="8" t="str">
        <f>"2561403010805"</f>
        <v>2561403010805</v>
      </c>
      <c r="C3086" s="8" t="s">
        <v>9</v>
      </c>
      <c r="D3086" s="9">
        <v>0</v>
      </c>
      <c r="E3086" s="8">
        <v>185</v>
      </c>
    </row>
    <row r="3087" s="3" customFormat="1" ht="18.75" spans="1:5">
      <c r="A3087" s="8" t="str">
        <f t="shared" si="55"/>
        <v>250016</v>
      </c>
      <c r="B3087" s="8" t="str">
        <f>"2561403010807"</f>
        <v>2561403010807</v>
      </c>
      <c r="C3087" s="8" t="s">
        <v>9</v>
      </c>
      <c r="D3087" s="9">
        <v>0</v>
      </c>
      <c r="E3087" s="8">
        <v>185</v>
      </c>
    </row>
    <row r="3088" s="3" customFormat="1" ht="18.75" spans="1:5">
      <c r="A3088" s="8" t="str">
        <f t="shared" si="55"/>
        <v>250016</v>
      </c>
      <c r="B3088" s="8" t="str">
        <f>"2561403010812"</f>
        <v>2561403010812</v>
      </c>
      <c r="C3088" s="8" t="s">
        <v>9</v>
      </c>
      <c r="D3088" s="9">
        <v>0</v>
      </c>
      <c r="E3088" s="8">
        <v>185</v>
      </c>
    </row>
    <row r="3089" s="3" customFormat="1" ht="18.75" spans="1:5">
      <c r="A3089" s="8" t="str">
        <f t="shared" si="55"/>
        <v>250016</v>
      </c>
      <c r="B3089" s="8" t="str">
        <f>"2561403010814"</f>
        <v>2561403010814</v>
      </c>
      <c r="C3089" s="8" t="s">
        <v>9</v>
      </c>
      <c r="D3089" s="9">
        <v>0</v>
      </c>
      <c r="E3089" s="8">
        <v>185</v>
      </c>
    </row>
    <row r="3090" s="3" customFormat="1" ht="18.75" spans="1:5">
      <c r="A3090" s="8" t="str">
        <f t="shared" si="55"/>
        <v>250016</v>
      </c>
      <c r="B3090" s="8" t="str">
        <f>"2561403010815"</f>
        <v>2561403010815</v>
      </c>
      <c r="C3090" s="8" t="s">
        <v>9</v>
      </c>
      <c r="D3090" s="9">
        <v>0</v>
      </c>
      <c r="E3090" s="8">
        <v>185</v>
      </c>
    </row>
    <row r="3091" s="3" customFormat="1" ht="18.75" spans="1:5">
      <c r="A3091" s="8" t="str">
        <f t="shared" si="55"/>
        <v>250016</v>
      </c>
      <c r="B3091" s="8" t="str">
        <f>"2561403010817"</f>
        <v>2561403010817</v>
      </c>
      <c r="C3091" s="8" t="s">
        <v>9</v>
      </c>
      <c r="D3091" s="9">
        <v>0</v>
      </c>
      <c r="E3091" s="8">
        <v>185</v>
      </c>
    </row>
    <row r="3092" s="3" customFormat="1" ht="18.75" spans="1:5">
      <c r="A3092" s="8" t="str">
        <f t="shared" si="55"/>
        <v>250016</v>
      </c>
      <c r="B3092" s="8" t="str">
        <f>"2561403010828"</f>
        <v>2561403010828</v>
      </c>
      <c r="C3092" s="8" t="s">
        <v>9</v>
      </c>
      <c r="D3092" s="9">
        <v>0</v>
      </c>
      <c r="E3092" s="8">
        <v>185</v>
      </c>
    </row>
    <row r="3093" s="3" customFormat="1" ht="18.75" spans="1:5">
      <c r="A3093" s="8" t="str">
        <f t="shared" si="55"/>
        <v>250016</v>
      </c>
      <c r="B3093" s="8" t="str">
        <f>"2561403010901"</f>
        <v>2561403010901</v>
      </c>
      <c r="C3093" s="8" t="s">
        <v>9</v>
      </c>
      <c r="D3093" s="9">
        <v>0</v>
      </c>
      <c r="E3093" s="8">
        <v>185</v>
      </c>
    </row>
    <row r="3094" s="3" customFormat="1" ht="18.75" spans="1:5">
      <c r="A3094" s="8" t="str">
        <f t="shared" si="55"/>
        <v>250016</v>
      </c>
      <c r="B3094" s="8" t="str">
        <f>"2561403010906"</f>
        <v>2561403010906</v>
      </c>
      <c r="C3094" s="8" t="s">
        <v>9</v>
      </c>
      <c r="D3094" s="9">
        <v>0</v>
      </c>
      <c r="E3094" s="8">
        <v>185</v>
      </c>
    </row>
    <row r="3095" s="3" customFormat="1" ht="18.75" spans="1:5">
      <c r="A3095" s="8" t="str">
        <f t="shared" si="55"/>
        <v>250016</v>
      </c>
      <c r="B3095" s="8" t="str">
        <f>"2561403010909"</f>
        <v>2561403010909</v>
      </c>
      <c r="C3095" s="8" t="s">
        <v>9</v>
      </c>
      <c r="D3095" s="9">
        <v>0</v>
      </c>
      <c r="E3095" s="8">
        <v>185</v>
      </c>
    </row>
    <row r="3096" s="3" customFormat="1" ht="18.75" spans="1:5">
      <c r="A3096" s="8" t="str">
        <f t="shared" si="55"/>
        <v>250016</v>
      </c>
      <c r="B3096" s="8" t="str">
        <f>"2561403010910"</f>
        <v>2561403010910</v>
      </c>
      <c r="C3096" s="8" t="s">
        <v>9</v>
      </c>
      <c r="D3096" s="9">
        <v>0</v>
      </c>
      <c r="E3096" s="8">
        <v>185</v>
      </c>
    </row>
    <row r="3097" s="3" customFormat="1" ht="18.75" spans="1:5">
      <c r="A3097" s="8" t="str">
        <f t="shared" si="55"/>
        <v>250016</v>
      </c>
      <c r="B3097" s="8" t="str">
        <f>"2561403010913"</f>
        <v>2561403010913</v>
      </c>
      <c r="C3097" s="8" t="s">
        <v>9</v>
      </c>
      <c r="D3097" s="9">
        <v>0</v>
      </c>
      <c r="E3097" s="8">
        <v>185</v>
      </c>
    </row>
    <row r="3098" s="3" customFormat="1" ht="18.75" spans="1:5">
      <c r="A3098" s="8" t="str">
        <f t="shared" si="55"/>
        <v>250016</v>
      </c>
      <c r="B3098" s="8" t="str">
        <f>"2561403010918"</f>
        <v>2561403010918</v>
      </c>
      <c r="C3098" s="8" t="s">
        <v>9</v>
      </c>
      <c r="D3098" s="9">
        <v>0</v>
      </c>
      <c r="E3098" s="8">
        <v>185</v>
      </c>
    </row>
    <row r="3099" s="3" customFormat="1" ht="18.75" spans="1:5">
      <c r="A3099" s="8" t="str">
        <f t="shared" si="55"/>
        <v>250016</v>
      </c>
      <c r="B3099" s="8" t="str">
        <f>"2561403010919"</f>
        <v>2561403010919</v>
      </c>
      <c r="C3099" s="8" t="s">
        <v>9</v>
      </c>
      <c r="D3099" s="9">
        <v>0</v>
      </c>
      <c r="E3099" s="8">
        <v>185</v>
      </c>
    </row>
    <row r="3100" s="3" customFormat="1" ht="18.75" spans="1:5">
      <c r="A3100" s="8" t="str">
        <f t="shared" si="55"/>
        <v>250016</v>
      </c>
      <c r="B3100" s="8" t="str">
        <f>"2561403010921"</f>
        <v>2561403010921</v>
      </c>
      <c r="C3100" s="8" t="s">
        <v>9</v>
      </c>
      <c r="D3100" s="9">
        <v>0</v>
      </c>
      <c r="E3100" s="8">
        <v>185</v>
      </c>
    </row>
    <row r="3101" s="3" customFormat="1" ht="18.75" spans="1:5">
      <c r="A3101" s="8" t="str">
        <f t="shared" si="55"/>
        <v>250016</v>
      </c>
      <c r="B3101" s="8" t="str">
        <f>"2561403010927"</f>
        <v>2561403010927</v>
      </c>
      <c r="C3101" s="8" t="s">
        <v>9</v>
      </c>
      <c r="D3101" s="9">
        <v>0</v>
      </c>
      <c r="E3101" s="8">
        <v>185</v>
      </c>
    </row>
    <row r="3102" s="3" customFormat="1" ht="18.75" spans="1:5">
      <c r="A3102" s="8" t="str">
        <f t="shared" si="55"/>
        <v>250016</v>
      </c>
      <c r="B3102" s="8" t="str">
        <f>"2561403011001"</f>
        <v>2561403011001</v>
      </c>
      <c r="C3102" s="8" t="s">
        <v>9</v>
      </c>
      <c r="D3102" s="9">
        <v>0</v>
      </c>
      <c r="E3102" s="8">
        <v>185</v>
      </c>
    </row>
    <row r="3103" s="3" customFormat="1" ht="18.75" spans="1:5">
      <c r="A3103" s="8" t="str">
        <f t="shared" si="55"/>
        <v>250016</v>
      </c>
      <c r="B3103" s="8" t="str">
        <f>"2561403011006"</f>
        <v>2561403011006</v>
      </c>
      <c r="C3103" s="8" t="s">
        <v>9</v>
      </c>
      <c r="D3103" s="9">
        <v>0</v>
      </c>
      <c r="E3103" s="8">
        <v>185</v>
      </c>
    </row>
    <row r="3104" s="3" customFormat="1" ht="18.75" spans="1:5">
      <c r="A3104" s="8" t="str">
        <f t="shared" si="55"/>
        <v>250016</v>
      </c>
      <c r="B3104" s="8" t="str">
        <f>"2561403011020"</f>
        <v>2561403011020</v>
      </c>
      <c r="C3104" s="8" t="s">
        <v>9</v>
      </c>
      <c r="D3104" s="9">
        <v>0</v>
      </c>
      <c r="E3104" s="8">
        <v>185</v>
      </c>
    </row>
    <row r="3105" s="3" customFormat="1" ht="18.75" spans="1:5">
      <c r="A3105" s="8" t="str">
        <f t="shared" si="55"/>
        <v>250016</v>
      </c>
      <c r="B3105" s="8" t="str">
        <f>"2561403011021"</f>
        <v>2561403011021</v>
      </c>
      <c r="C3105" s="8" t="s">
        <v>9</v>
      </c>
      <c r="D3105" s="9">
        <v>0</v>
      </c>
      <c r="E3105" s="8">
        <v>185</v>
      </c>
    </row>
    <row r="3106" s="3" customFormat="1" ht="18.75" spans="1:5">
      <c r="A3106" s="8" t="str">
        <f t="shared" si="55"/>
        <v>250016</v>
      </c>
      <c r="B3106" s="8" t="str">
        <f>"2561403011023"</f>
        <v>2561403011023</v>
      </c>
      <c r="C3106" s="8" t="s">
        <v>9</v>
      </c>
      <c r="D3106" s="9">
        <v>0</v>
      </c>
      <c r="E3106" s="8">
        <v>185</v>
      </c>
    </row>
    <row r="3107" s="3" customFormat="1" ht="18.75" spans="1:5">
      <c r="A3107" s="8" t="str">
        <f t="shared" si="55"/>
        <v>250016</v>
      </c>
      <c r="B3107" s="8" t="str">
        <f>"2561403011027"</f>
        <v>2561403011027</v>
      </c>
      <c r="C3107" s="8" t="s">
        <v>9</v>
      </c>
      <c r="D3107" s="9">
        <v>0</v>
      </c>
      <c r="E3107" s="8">
        <v>185</v>
      </c>
    </row>
    <row r="3108" s="3" customFormat="1" ht="18.75" spans="1:5">
      <c r="A3108" s="8" t="str">
        <f t="shared" si="55"/>
        <v>250016</v>
      </c>
      <c r="B3108" s="8" t="str">
        <f>"2561403011028"</f>
        <v>2561403011028</v>
      </c>
      <c r="C3108" s="8" t="s">
        <v>9</v>
      </c>
      <c r="D3108" s="9">
        <v>0</v>
      </c>
      <c r="E3108" s="8">
        <v>185</v>
      </c>
    </row>
    <row r="3109" s="3" customFormat="1" ht="18.75" spans="1:5">
      <c r="A3109" s="8" t="str">
        <f t="shared" si="55"/>
        <v>250016</v>
      </c>
      <c r="B3109" s="8" t="str">
        <f>"2561403011101"</f>
        <v>2561403011101</v>
      </c>
      <c r="C3109" s="8" t="s">
        <v>9</v>
      </c>
      <c r="D3109" s="9">
        <v>0</v>
      </c>
      <c r="E3109" s="8">
        <v>185</v>
      </c>
    </row>
    <row r="3110" s="3" customFormat="1" ht="18.75" spans="1:5">
      <c r="A3110" s="8" t="str">
        <f t="shared" si="55"/>
        <v>250016</v>
      </c>
      <c r="B3110" s="8" t="str">
        <f>"2561403011103"</f>
        <v>2561403011103</v>
      </c>
      <c r="C3110" s="8" t="s">
        <v>9</v>
      </c>
      <c r="D3110" s="9">
        <v>0</v>
      </c>
      <c r="E3110" s="8">
        <v>185</v>
      </c>
    </row>
    <row r="3111" s="3" customFormat="1" ht="18.75" spans="1:5">
      <c r="A3111" s="8" t="str">
        <f t="shared" si="55"/>
        <v>250016</v>
      </c>
      <c r="B3111" s="8" t="str">
        <f>"2561403011107"</f>
        <v>2561403011107</v>
      </c>
      <c r="C3111" s="8" t="s">
        <v>9</v>
      </c>
      <c r="D3111" s="9">
        <v>0</v>
      </c>
      <c r="E3111" s="8">
        <v>185</v>
      </c>
    </row>
    <row r="3112" s="3" customFormat="1" ht="18.75" spans="1:5">
      <c r="A3112" s="8" t="str">
        <f t="shared" si="55"/>
        <v>250016</v>
      </c>
      <c r="B3112" s="8" t="str">
        <f>"2561403011110"</f>
        <v>2561403011110</v>
      </c>
      <c r="C3112" s="8" t="s">
        <v>9</v>
      </c>
      <c r="D3112" s="9">
        <v>0</v>
      </c>
      <c r="E3112" s="8">
        <v>185</v>
      </c>
    </row>
    <row r="3113" s="3" customFormat="1" ht="18.75" spans="1:5">
      <c r="A3113" s="8" t="str">
        <f t="shared" si="55"/>
        <v>250016</v>
      </c>
      <c r="B3113" s="8" t="str">
        <f>"2561403011111"</f>
        <v>2561403011111</v>
      </c>
      <c r="C3113" s="8" t="s">
        <v>9</v>
      </c>
      <c r="D3113" s="9">
        <v>0</v>
      </c>
      <c r="E3113" s="8">
        <v>185</v>
      </c>
    </row>
    <row r="3114" s="3" customFormat="1" ht="18.75" spans="1:5">
      <c r="A3114" s="8" t="str">
        <f t="shared" si="55"/>
        <v>250016</v>
      </c>
      <c r="B3114" s="8" t="str">
        <f>"2561403011112"</f>
        <v>2561403011112</v>
      </c>
      <c r="C3114" s="8" t="s">
        <v>9</v>
      </c>
      <c r="D3114" s="9">
        <v>0</v>
      </c>
      <c r="E3114" s="8">
        <v>185</v>
      </c>
    </row>
    <row r="3115" s="3" customFormat="1" ht="18.75" spans="1:5">
      <c r="A3115" s="8" t="str">
        <f t="shared" si="55"/>
        <v>250016</v>
      </c>
      <c r="B3115" s="8" t="str">
        <f>"2561403011114"</f>
        <v>2561403011114</v>
      </c>
      <c r="C3115" s="8" t="s">
        <v>9</v>
      </c>
      <c r="D3115" s="9">
        <v>0</v>
      </c>
      <c r="E3115" s="8">
        <v>185</v>
      </c>
    </row>
    <row r="3116" s="3" customFormat="1" ht="18.75" spans="1:5">
      <c r="A3116" s="8" t="str">
        <f t="shared" si="55"/>
        <v>250016</v>
      </c>
      <c r="B3116" s="8" t="str">
        <f>"2561403011116"</f>
        <v>2561403011116</v>
      </c>
      <c r="C3116" s="8" t="s">
        <v>9</v>
      </c>
      <c r="D3116" s="9">
        <v>0</v>
      </c>
      <c r="E3116" s="8">
        <v>185</v>
      </c>
    </row>
    <row r="3117" s="3" customFormat="1" ht="18.75" spans="1:5">
      <c r="A3117" s="8" t="str">
        <f t="shared" si="55"/>
        <v>250016</v>
      </c>
      <c r="B3117" s="8" t="str">
        <f>"2561403011118"</f>
        <v>2561403011118</v>
      </c>
      <c r="C3117" s="8" t="s">
        <v>9</v>
      </c>
      <c r="D3117" s="9">
        <v>0</v>
      </c>
      <c r="E3117" s="8">
        <v>185</v>
      </c>
    </row>
    <row r="3118" s="3" customFormat="1" ht="18.75" spans="1:5">
      <c r="A3118" s="8" t="str">
        <f t="shared" si="55"/>
        <v>250016</v>
      </c>
      <c r="B3118" s="8" t="str">
        <f>"2561403011119"</f>
        <v>2561403011119</v>
      </c>
      <c r="C3118" s="8" t="s">
        <v>9</v>
      </c>
      <c r="D3118" s="9">
        <v>0</v>
      </c>
      <c r="E3118" s="8">
        <v>185</v>
      </c>
    </row>
    <row r="3119" s="3" customFormat="1" ht="18.75" spans="1:5">
      <c r="A3119" s="8" t="str">
        <f t="shared" si="55"/>
        <v>250016</v>
      </c>
      <c r="B3119" s="8" t="str">
        <f>"2561403011121"</f>
        <v>2561403011121</v>
      </c>
      <c r="C3119" s="8" t="s">
        <v>9</v>
      </c>
      <c r="D3119" s="9">
        <v>0</v>
      </c>
      <c r="E3119" s="8">
        <v>185</v>
      </c>
    </row>
    <row r="3120" s="3" customFormat="1" ht="18.75" spans="1:5">
      <c r="A3120" s="8" t="str">
        <f t="shared" si="55"/>
        <v>250016</v>
      </c>
      <c r="B3120" s="8" t="str">
        <f>"2561403011124"</f>
        <v>2561403011124</v>
      </c>
      <c r="C3120" s="8" t="s">
        <v>9</v>
      </c>
      <c r="D3120" s="9">
        <v>0</v>
      </c>
      <c r="E3120" s="8">
        <v>185</v>
      </c>
    </row>
    <row r="3121" s="3" customFormat="1" ht="18.75" spans="1:5">
      <c r="A3121" s="8" t="str">
        <f t="shared" si="55"/>
        <v>250016</v>
      </c>
      <c r="B3121" s="8" t="str">
        <f>"2561403011126"</f>
        <v>2561403011126</v>
      </c>
      <c r="C3121" s="8" t="s">
        <v>9</v>
      </c>
      <c r="D3121" s="9">
        <v>0</v>
      </c>
      <c r="E3121" s="8">
        <v>185</v>
      </c>
    </row>
    <row r="3122" s="3" customFormat="1" ht="18.75" spans="1:5">
      <c r="A3122" s="8" t="str">
        <f t="shared" si="55"/>
        <v>250016</v>
      </c>
      <c r="B3122" s="8" t="str">
        <f>"2561403011129"</f>
        <v>2561403011129</v>
      </c>
      <c r="C3122" s="8" t="s">
        <v>9</v>
      </c>
      <c r="D3122" s="9">
        <v>0</v>
      </c>
      <c r="E3122" s="8">
        <v>185</v>
      </c>
    </row>
    <row r="3123" s="3" customFormat="1" ht="18.75" spans="1:5">
      <c r="A3123" s="8" t="str">
        <f t="shared" si="55"/>
        <v>250016</v>
      </c>
      <c r="B3123" s="8" t="str">
        <f>"2561403011203"</f>
        <v>2561403011203</v>
      </c>
      <c r="C3123" s="8" t="s">
        <v>9</v>
      </c>
      <c r="D3123" s="9">
        <v>0</v>
      </c>
      <c r="E3123" s="8">
        <v>185</v>
      </c>
    </row>
    <row r="3124" s="3" customFormat="1" ht="18.75" spans="1:5">
      <c r="A3124" s="8" t="str">
        <f t="shared" si="55"/>
        <v>250016</v>
      </c>
      <c r="B3124" s="8" t="str">
        <f>"2561403011207"</f>
        <v>2561403011207</v>
      </c>
      <c r="C3124" s="8" t="s">
        <v>9</v>
      </c>
      <c r="D3124" s="9">
        <v>0</v>
      </c>
      <c r="E3124" s="8">
        <v>185</v>
      </c>
    </row>
    <row r="3125" s="3" customFormat="1" ht="18.75" spans="1:5">
      <c r="A3125" s="8" t="str">
        <f t="shared" si="55"/>
        <v>250016</v>
      </c>
      <c r="B3125" s="8" t="str">
        <f>"2561403011214"</f>
        <v>2561403011214</v>
      </c>
      <c r="C3125" s="8" t="s">
        <v>9</v>
      </c>
      <c r="D3125" s="9">
        <v>0</v>
      </c>
      <c r="E3125" s="8">
        <v>185</v>
      </c>
    </row>
    <row r="3126" s="3" customFormat="1" ht="18.75" spans="1:5">
      <c r="A3126" s="8" t="str">
        <f t="shared" si="55"/>
        <v>250016</v>
      </c>
      <c r="B3126" s="8" t="str">
        <f>"2561403011217"</f>
        <v>2561403011217</v>
      </c>
      <c r="C3126" s="8" t="s">
        <v>9</v>
      </c>
      <c r="D3126" s="9">
        <v>0</v>
      </c>
      <c r="E3126" s="8">
        <v>185</v>
      </c>
    </row>
    <row r="3127" s="3" customFormat="1" ht="18.75" spans="1:5">
      <c r="A3127" s="8" t="str">
        <f t="shared" si="55"/>
        <v>250016</v>
      </c>
      <c r="B3127" s="8" t="str">
        <f>"2561403011219"</f>
        <v>2561403011219</v>
      </c>
      <c r="C3127" s="8" t="s">
        <v>9</v>
      </c>
      <c r="D3127" s="9">
        <v>0</v>
      </c>
      <c r="E3127" s="8">
        <v>185</v>
      </c>
    </row>
    <row r="3128" s="3" customFormat="1" ht="18.75" spans="1:5">
      <c r="A3128" s="8" t="str">
        <f t="shared" si="55"/>
        <v>250016</v>
      </c>
      <c r="B3128" s="8" t="str">
        <f>"2561403011220"</f>
        <v>2561403011220</v>
      </c>
      <c r="C3128" s="8" t="s">
        <v>9</v>
      </c>
      <c r="D3128" s="9">
        <v>0</v>
      </c>
      <c r="E3128" s="8">
        <v>185</v>
      </c>
    </row>
    <row r="3129" s="3" customFormat="1" ht="18.75" spans="1:5">
      <c r="A3129" s="8" t="str">
        <f t="shared" si="55"/>
        <v>250016</v>
      </c>
      <c r="B3129" s="8" t="str">
        <f>"2561403011226"</f>
        <v>2561403011226</v>
      </c>
      <c r="C3129" s="8" t="s">
        <v>9</v>
      </c>
      <c r="D3129" s="9">
        <v>0</v>
      </c>
      <c r="E3129" s="8">
        <v>185</v>
      </c>
    </row>
    <row r="3130" s="3" customFormat="1" ht="18.75" spans="1:5">
      <c r="A3130" s="8" t="str">
        <f t="shared" si="55"/>
        <v>250016</v>
      </c>
      <c r="B3130" s="8" t="str">
        <f>"2561403011227"</f>
        <v>2561403011227</v>
      </c>
      <c r="C3130" s="8" t="s">
        <v>9</v>
      </c>
      <c r="D3130" s="9">
        <v>0</v>
      </c>
      <c r="E3130" s="8">
        <v>185</v>
      </c>
    </row>
    <row r="3131" s="3" customFormat="1" ht="18.75" spans="1:5">
      <c r="A3131" s="8" t="str">
        <f t="shared" si="55"/>
        <v>250016</v>
      </c>
      <c r="B3131" s="8" t="str">
        <f>"2561403011305"</f>
        <v>2561403011305</v>
      </c>
      <c r="C3131" s="8" t="s">
        <v>9</v>
      </c>
      <c r="D3131" s="9">
        <v>0</v>
      </c>
      <c r="E3131" s="8">
        <v>185</v>
      </c>
    </row>
    <row r="3132" s="3" customFormat="1" ht="18.75" spans="1:5">
      <c r="A3132" s="8" t="str">
        <f t="shared" si="55"/>
        <v>250016</v>
      </c>
      <c r="B3132" s="8" t="str">
        <f>"2561403011306"</f>
        <v>2561403011306</v>
      </c>
      <c r="C3132" s="8" t="s">
        <v>9</v>
      </c>
      <c r="D3132" s="9">
        <v>0</v>
      </c>
      <c r="E3132" s="8">
        <v>185</v>
      </c>
    </row>
    <row r="3133" s="3" customFormat="1" ht="18.75" spans="1:5">
      <c r="A3133" s="8" t="str">
        <f t="shared" si="55"/>
        <v>250016</v>
      </c>
      <c r="B3133" s="8" t="str">
        <f>"2561403011311"</f>
        <v>2561403011311</v>
      </c>
      <c r="C3133" s="8" t="s">
        <v>9</v>
      </c>
      <c r="D3133" s="9">
        <v>0</v>
      </c>
      <c r="E3133" s="8">
        <v>185</v>
      </c>
    </row>
    <row r="3134" s="3" customFormat="1" ht="18.75" spans="1:5">
      <c r="A3134" s="8" t="str">
        <f t="shared" si="55"/>
        <v>250016</v>
      </c>
      <c r="B3134" s="8" t="str">
        <f>"2561403011317"</f>
        <v>2561403011317</v>
      </c>
      <c r="C3134" s="8" t="s">
        <v>9</v>
      </c>
      <c r="D3134" s="9">
        <v>0</v>
      </c>
      <c r="E3134" s="8">
        <v>185</v>
      </c>
    </row>
    <row r="3135" s="3" customFormat="1" ht="18.75" spans="1:5">
      <c r="A3135" s="8" t="str">
        <f t="shared" si="55"/>
        <v>250016</v>
      </c>
      <c r="B3135" s="8" t="str">
        <f>"2561403011319"</f>
        <v>2561403011319</v>
      </c>
      <c r="C3135" s="8" t="s">
        <v>9</v>
      </c>
      <c r="D3135" s="9">
        <v>0</v>
      </c>
      <c r="E3135" s="8">
        <v>185</v>
      </c>
    </row>
    <row r="3136" s="3" customFormat="1" ht="18.75" spans="1:5">
      <c r="A3136" s="8" t="str">
        <f t="shared" si="55"/>
        <v>250016</v>
      </c>
      <c r="B3136" s="8" t="str">
        <f>"2561403011320"</f>
        <v>2561403011320</v>
      </c>
      <c r="C3136" s="8" t="s">
        <v>9</v>
      </c>
      <c r="D3136" s="9">
        <v>0</v>
      </c>
      <c r="E3136" s="8">
        <v>185</v>
      </c>
    </row>
    <row r="3137" s="3" customFormat="1" ht="18.75" spans="1:5">
      <c r="A3137" s="8" t="str">
        <f t="shared" ref="A3137:A3175" si="56">"250017"</f>
        <v>250017</v>
      </c>
      <c r="B3137" s="8" t="str">
        <f>"2561403011419"</f>
        <v>2561403011419</v>
      </c>
      <c r="C3137" s="8" t="s">
        <v>9</v>
      </c>
      <c r="D3137" s="9">
        <v>65.94</v>
      </c>
      <c r="E3137" s="8">
        <v>1</v>
      </c>
    </row>
    <row r="3138" s="3" customFormat="1" ht="18.75" spans="1:5">
      <c r="A3138" s="8" t="str">
        <f t="shared" si="56"/>
        <v>250017</v>
      </c>
      <c r="B3138" s="8" t="str">
        <f>"2561403011408"</f>
        <v>2561403011408</v>
      </c>
      <c r="C3138" s="8" t="s">
        <v>9</v>
      </c>
      <c r="D3138" s="9">
        <v>65.33</v>
      </c>
      <c r="E3138" s="8">
        <v>2</v>
      </c>
    </row>
    <row r="3139" s="3" customFormat="1" ht="18.75" spans="1:5">
      <c r="A3139" s="8" t="str">
        <f t="shared" si="56"/>
        <v>250017</v>
      </c>
      <c r="B3139" s="8" t="str">
        <f>"2561403011412"</f>
        <v>2561403011412</v>
      </c>
      <c r="C3139" s="8" t="s">
        <v>9</v>
      </c>
      <c r="D3139" s="9">
        <v>64.64</v>
      </c>
      <c r="E3139" s="8">
        <v>3</v>
      </c>
    </row>
    <row r="3140" s="3" customFormat="1" ht="18.75" spans="1:5">
      <c r="A3140" s="8" t="str">
        <f t="shared" si="56"/>
        <v>250017</v>
      </c>
      <c r="B3140" s="8" t="str">
        <f>"2561403011324"</f>
        <v>2561403011324</v>
      </c>
      <c r="C3140" s="8" t="s">
        <v>9</v>
      </c>
      <c r="D3140" s="9">
        <v>64.63</v>
      </c>
      <c r="E3140" s="8">
        <v>4</v>
      </c>
    </row>
    <row r="3141" s="3" customFormat="1" ht="18.75" spans="1:5">
      <c r="A3141" s="8" t="str">
        <f t="shared" si="56"/>
        <v>250017</v>
      </c>
      <c r="B3141" s="8" t="str">
        <f>"2561403011401"</f>
        <v>2561403011401</v>
      </c>
      <c r="C3141" s="8" t="s">
        <v>9</v>
      </c>
      <c r="D3141" s="9">
        <v>63.29</v>
      </c>
      <c r="E3141" s="8">
        <v>5</v>
      </c>
    </row>
    <row r="3142" s="3" customFormat="1" ht="18.75" spans="1:5">
      <c r="A3142" s="8" t="str">
        <f t="shared" si="56"/>
        <v>250017</v>
      </c>
      <c r="B3142" s="8" t="str">
        <f>"2561403011426"</f>
        <v>2561403011426</v>
      </c>
      <c r="C3142" s="8" t="s">
        <v>9</v>
      </c>
      <c r="D3142" s="9">
        <v>63.24</v>
      </c>
      <c r="E3142" s="8">
        <v>6</v>
      </c>
    </row>
    <row r="3143" s="3" customFormat="1" ht="18.75" spans="1:5">
      <c r="A3143" s="8" t="str">
        <f t="shared" si="56"/>
        <v>250017</v>
      </c>
      <c r="B3143" s="8" t="str">
        <f>"2561403011411"</f>
        <v>2561403011411</v>
      </c>
      <c r="C3143" s="8" t="s">
        <v>9</v>
      </c>
      <c r="D3143" s="9">
        <v>62.88</v>
      </c>
      <c r="E3143" s="8">
        <v>7</v>
      </c>
    </row>
    <row r="3144" s="3" customFormat="1" ht="18.75" spans="1:5">
      <c r="A3144" s="8" t="str">
        <f t="shared" si="56"/>
        <v>250017</v>
      </c>
      <c r="B3144" s="8" t="str">
        <f>"2561403011406"</f>
        <v>2561403011406</v>
      </c>
      <c r="C3144" s="8" t="s">
        <v>9</v>
      </c>
      <c r="D3144" s="9">
        <v>62.86</v>
      </c>
      <c r="E3144" s="8">
        <v>8</v>
      </c>
    </row>
    <row r="3145" s="3" customFormat="1" ht="18.75" spans="1:5">
      <c r="A3145" s="8" t="str">
        <f t="shared" si="56"/>
        <v>250017</v>
      </c>
      <c r="B3145" s="8" t="str">
        <f>"2561403011425"</f>
        <v>2561403011425</v>
      </c>
      <c r="C3145" s="8" t="s">
        <v>9</v>
      </c>
      <c r="D3145" s="9">
        <v>60.71</v>
      </c>
      <c r="E3145" s="8">
        <v>9</v>
      </c>
    </row>
    <row r="3146" s="3" customFormat="1" ht="18.75" spans="1:5">
      <c r="A3146" s="8" t="str">
        <f t="shared" si="56"/>
        <v>250017</v>
      </c>
      <c r="B3146" s="8" t="str">
        <f>"2561403011326"</f>
        <v>2561403011326</v>
      </c>
      <c r="C3146" s="8" t="s">
        <v>9</v>
      </c>
      <c r="D3146" s="9">
        <v>59.42</v>
      </c>
      <c r="E3146" s="8">
        <v>10</v>
      </c>
    </row>
    <row r="3147" s="3" customFormat="1" ht="18.75" spans="1:5">
      <c r="A3147" s="8" t="str">
        <f t="shared" si="56"/>
        <v>250017</v>
      </c>
      <c r="B3147" s="8" t="str">
        <f>"2561403011418"</f>
        <v>2561403011418</v>
      </c>
      <c r="C3147" s="8" t="s">
        <v>9</v>
      </c>
      <c r="D3147" s="9">
        <v>59.29</v>
      </c>
      <c r="E3147" s="8">
        <v>11</v>
      </c>
    </row>
    <row r="3148" s="3" customFormat="1" ht="18.75" spans="1:5">
      <c r="A3148" s="8" t="str">
        <f t="shared" si="56"/>
        <v>250017</v>
      </c>
      <c r="B3148" s="8" t="str">
        <f>"2561403011414"</f>
        <v>2561403011414</v>
      </c>
      <c r="C3148" s="8" t="s">
        <v>9</v>
      </c>
      <c r="D3148" s="9">
        <v>57.94</v>
      </c>
      <c r="E3148" s="8">
        <v>12</v>
      </c>
    </row>
    <row r="3149" s="3" customFormat="1" ht="18.75" spans="1:5">
      <c r="A3149" s="8" t="str">
        <f t="shared" si="56"/>
        <v>250017</v>
      </c>
      <c r="B3149" s="8" t="str">
        <f>"2561403011422"</f>
        <v>2561403011422</v>
      </c>
      <c r="C3149" s="8" t="s">
        <v>9</v>
      </c>
      <c r="D3149" s="9">
        <v>56.14</v>
      </c>
      <c r="E3149" s="8">
        <v>13</v>
      </c>
    </row>
    <row r="3150" s="3" customFormat="1" ht="18.75" spans="1:5">
      <c r="A3150" s="8" t="str">
        <f t="shared" si="56"/>
        <v>250017</v>
      </c>
      <c r="B3150" s="8" t="str">
        <f>"2561403011423"</f>
        <v>2561403011423</v>
      </c>
      <c r="C3150" s="8" t="s">
        <v>9</v>
      </c>
      <c r="D3150" s="9">
        <v>55.88</v>
      </c>
      <c r="E3150" s="8">
        <v>14</v>
      </c>
    </row>
    <row r="3151" s="3" customFormat="1" ht="18.75" spans="1:5">
      <c r="A3151" s="8" t="str">
        <f t="shared" si="56"/>
        <v>250017</v>
      </c>
      <c r="B3151" s="8" t="str">
        <f>"2561403011330"</f>
        <v>2561403011330</v>
      </c>
      <c r="C3151" s="8" t="s">
        <v>9</v>
      </c>
      <c r="D3151" s="9">
        <v>55.84</v>
      </c>
      <c r="E3151" s="8">
        <v>15</v>
      </c>
    </row>
    <row r="3152" s="3" customFormat="1" ht="18.75" spans="1:5">
      <c r="A3152" s="8" t="str">
        <f t="shared" si="56"/>
        <v>250017</v>
      </c>
      <c r="B3152" s="8" t="str">
        <f>"2561403011323"</f>
        <v>2561403011323</v>
      </c>
      <c r="C3152" s="8" t="s">
        <v>9</v>
      </c>
      <c r="D3152" s="9">
        <v>55.67</v>
      </c>
      <c r="E3152" s="8">
        <v>16</v>
      </c>
    </row>
    <row r="3153" s="3" customFormat="1" ht="18.75" spans="1:5">
      <c r="A3153" s="8" t="str">
        <f t="shared" si="56"/>
        <v>250017</v>
      </c>
      <c r="B3153" s="8" t="str">
        <f>"2561403011322"</f>
        <v>2561403011322</v>
      </c>
      <c r="C3153" s="8" t="s">
        <v>9</v>
      </c>
      <c r="D3153" s="9">
        <v>54.93</v>
      </c>
      <c r="E3153" s="8">
        <v>17</v>
      </c>
    </row>
    <row r="3154" s="3" customFormat="1" ht="18.75" spans="1:5">
      <c r="A3154" s="8" t="str">
        <f t="shared" si="56"/>
        <v>250017</v>
      </c>
      <c r="B3154" s="8" t="str">
        <f>"2561403011429"</f>
        <v>2561403011429</v>
      </c>
      <c r="C3154" s="8" t="s">
        <v>9</v>
      </c>
      <c r="D3154" s="9">
        <v>54.5</v>
      </c>
      <c r="E3154" s="8">
        <v>18</v>
      </c>
    </row>
    <row r="3155" s="3" customFormat="1" ht="18.75" spans="1:5">
      <c r="A3155" s="8" t="str">
        <f t="shared" si="56"/>
        <v>250017</v>
      </c>
      <c r="B3155" s="8" t="str">
        <f>"2561403011427"</f>
        <v>2561403011427</v>
      </c>
      <c r="C3155" s="8" t="s">
        <v>9</v>
      </c>
      <c r="D3155" s="9">
        <v>54.36</v>
      </c>
      <c r="E3155" s="8">
        <v>19</v>
      </c>
    </row>
    <row r="3156" s="3" customFormat="1" ht="18.75" spans="1:5">
      <c r="A3156" s="8" t="str">
        <f t="shared" si="56"/>
        <v>250017</v>
      </c>
      <c r="B3156" s="8" t="str">
        <f>"2561403011410"</f>
        <v>2561403011410</v>
      </c>
      <c r="C3156" s="8" t="s">
        <v>9</v>
      </c>
      <c r="D3156" s="9">
        <v>53.33</v>
      </c>
      <c r="E3156" s="8">
        <v>20</v>
      </c>
    </row>
    <row r="3157" s="3" customFormat="1" ht="18.75" spans="1:5">
      <c r="A3157" s="8" t="str">
        <f t="shared" si="56"/>
        <v>250017</v>
      </c>
      <c r="B3157" s="8" t="str">
        <f>"2561403011409"</f>
        <v>2561403011409</v>
      </c>
      <c r="C3157" s="8" t="s">
        <v>9</v>
      </c>
      <c r="D3157" s="9">
        <v>53.31</v>
      </c>
      <c r="E3157" s="8">
        <v>21</v>
      </c>
    </row>
    <row r="3158" s="3" customFormat="1" ht="18.75" spans="1:5">
      <c r="A3158" s="8" t="str">
        <f t="shared" si="56"/>
        <v>250017</v>
      </c>
      <c r="B3158" s="8" t="str">
        <f>"2561403011424"</f>
        <v>2561403011424</v>
      </c>
      <c r="C3158" s="8" t="s">
        <v>9</v>
      </c>
      <c r="D3158" s="9">
        <v>52.74</v>
      </c>
      <c r="E3158" s="8">
        <v>22</v>
      </c>
    </row>
    <row r="3159" s="3" customFormat="1" ht="18.75" spans="1:5">
      <c r="A3159" s="8" t="str">
        <f t="shared" si="56"/>
        <v>250017</v>
      </c>
      <c r="B3159" s="8" t="str">
        <f>"2561403011421"</f>
        <v>2561403011421</v>
      </c>
      <c r="C3159" s="8" t="s">
        <v>9</v>
      </c>
      <c r="D3159" s="9">
        <v>52.43</v>
      </c>
      <c r="E3159" s="8">
        <v>23</v>
      </c>
    </row>
    <row r="3160" s="3" customFormat="1" ht="18.75" spans="1:5">
      <c r="A3160" s="8" t="str">
        <f t="shared" si="56"/>
        <v>250017</v>
      </c>
      <c r="B3160" s="8" t="str">
        <f>"2561403011329"</f>
        <v>2561403011329</v>
      </c>
      <c r="C3160" s="8" t="s">
        <v>9</v>
      </c>
      <c r="D3160" s="9">
        <v>51.7</v>
      </c>
      <c r="E3160" s="8">
        <v>24</v>
      </c>
    </row>
    <row r="3161" s="3" customFormat="1" ht="18.75" spans="1:5">
      <c r="A3161" s="8" t="str">
        <f t="shared" si="56"/>
        <v>250017</v>
      </c>
      <c r="B3161" s="8" t="str">
        <f>"2561403011403"</f>
        <v>2561403011403</v>
      </c>
      <c r="C3161" s="8" t="s">
        <v>9</v>
      </c>
      <c r="D3161" s="9">
        <v>51.33</v>
      </c>
      <c r="E3161" s="8">
        <v>25</v>
      </c>
    </row>
    <row r="3162" s="3" customFormat="1" ht="18.75" spans="1:5">
      <c r="A3162" s="8" t="str">
        <f t="shared" si="56"/>
        <v>250017</v>
      </c>
      <c r="B3162" s="8" t="str">
        <f>"2561403011321"</f>
        <v>2561403011321</v>
      </c>
      <c r="C3162" s="8" t="s">
        <v>9</v>
      </c>
      <c r="D3162" s="9">
        <v>49.53</v>
      </c>
      <c r="E3162" s="8">
        <v>26</v>
      </c>
    </row>
    <row r="3163" s="3" customFormat="1" ht="18.75" spans="1:5">
      <c r="A3163" s="8" t="str">
        <f t="shared" si="56"/>
        <v>250017</v>
      </c>
      <c r="B3163" s="8" t="str">
        <f>"2561403011413"</f>
        <v>2561403011413</v>
      </c>
      <c r="C3163" s="8" t="s">
        <v>9</v>
      </c>
      <c r="D3163" s="9">
        <v>48.77</v>
      </c>
      <c r="E3163" s="8">
        <v>27</v>
      </c>
    </row>
    <row r="3164" s="3" customFormat="1" ht="18.75" spans="1:5">
      <c r="A3164" s="8" t="str">
        <f t="shared" si="56"/>
        <v>250017</v>
      </c>
      <c r="B3164" s="8" t="str">
        <f>"2561403011407"</f>
        <v>2561403011407</v>
      </c>
      <c r="C3164" s="8" t="s">
        <v>9</v>
      </c>
      <c r="D3164" s="9">
        <v>47.98</v>
      </c>
      <c r="E3164" s="8">
        <v>28</v>
      </c>
    </row>
    <row r="3165" s="3" customFormat="1" ht="18.75" spans="1:5">
      <c r="A3165" s="8" t="str">
        <f t="shared" si="56"/>
        <v>250017</v>
      </c>
      <c r="B3165" s="8" t="str">
        <f>"2561403011327"</f>
        <v>2561403011327</v>
      </c>
      <c r="C3165" s="8" t="s">
        <v>9</v>
      </c>
      <c r="D3165" s="9">
        <v>38.87</v>
      </c>
      <c r="E3165" s="8">
        <v>29</v>
      </c>
    </row>
    <row r="3166" s="3" customFormat="1" ht="18.75" spans="1:5">
      <c r="A3166" s="8" t="str">
        <f t="shared" si="56"/>
        <v>250017</v>
      </c>
      <c r="B3166" s="8" t="str">
        <f>"2561403011325"</f>
        <v>2561403011325</v>
      </c>
      <c r="C3166" s="8" t="s">
        <v>9</v>
      </c>
      <c r="D3166" s="9">
        <v>0</v>
      </c>
      <c r="E3166" s="8">
        <v>30</v>
      </c>
    </row>
    <row r="3167" s="3" customFormat="1" ht="18.75" spans="1:5">
      <c r="A3167" s="8" t="str">
        <f t="shared" si="56"/>
        <v>250017</v>
      </c>
      <c r="B3167" s="8" t="str">
        <f>"2561403011328"</f>
        <v>2561403011328</v>
      </c>
      <c r="C3167" s="8" t="s">
        <v>9</v>
      </c>
      <c r="D3167" s="9">
        <v>0</v>
      </c>
      <c r="E3167" s="8">
        <v>30</v>
      </c>
    </row>
    <row r="3168" s="3" customFormat="1" ht="18.75" spans="1:5">
      <c r="A3168" s="8" t="str">
        <f t="shared" si="56"/>
        <v>250017</v>
      </c>
      <c r="B3168" s="8" t="str">
        <f>"2561403011402"</f>
        <v>2561403011402</v>
      </c>
      <c r="C3168" s="8" t="s">
        <v>9</v>
      </c>
      <c r="D3168" s="9">
        <v>0</v>
      </c>
      <c r="E3168" s="8">
        <v>30</v>
      </c>
    </row>
    <row r="3169" s="3" customFormat="1" ht="18.75" spans="1:5">
      <c r="A3169" s="8" t="str">
        <f t="shared" si="56"/>
        <v>250017</v>
      </c>
      <c r="B3169" s="8" t="str">
        <f>"2561403011404"</f>
        <v>2561403011404</v>
      </c>
      <c r="C3169" s="8" t="s">
        <v>9</v>
      </c>
      <c r="D3169" s="9">
        <v>0</v>
      </c>
      <c r="E3169" s="8">
        <v>30</v>
      </c>
    </row>
    <row r="3170" s="3" customFormat="1" ht="18.75" spans="1:5">
      <c r="A3170" s="8" t="str">
        <f t="shared" si="56"/>
        <v>250017</v>
      </c>
      <c r="B3170" s="8" t="str">
        <f>"2561403011405"</f>
        <v>2561403011405</v>
      </c>
      <c r="C3170" s="8" t="s">
        <v>9</v>
      </c>
      <c r="D3170" s="9">
        <v>0</v>
      </c>
      <c r="E3170" s="8">
        <v>30</v>
      </c>
    </row>
    <row r="3171" s="3" customFormat="1" ht="18.75" spans="1:5">
      <c r="A3171" s="8" t="str">
        <f t="shared" si="56"/>
        <v>250017</v>
      </c>
      <c r="B3171" s="8" t="str">
        <f>"2561403011415"</f>
        <v>2561403011415</v>
      </c>
      <c r="C3171" s="8" t="s">
        <v>9</v>
      </c>
      <c r="D3171" s="9">
        <v>0</v>
      </c>
      <c r="E3171" s="8">
        <v>30</v>
      </c>
    </row>
    <row r="3172" s="3" customFormat="1" ht="18.75" spans="1:5">
      <c r="A3172" s="8" t="str">
        <f t="shared" si="56"/>
        <v>250017</v>
      </c>
      <c r="B3172" s="8" t="str">
        <f>"2561403011416"</f>
        <v>2561403011416</v>
      </c>
      <c r="C3172" s="8" t="s">
        <v>9</v>
      </c>
      <c r="D3172" s="9">
        <v>0</v>
      </c>
      <c r="E3172" s="8">
        <v>30</v>
      </c>
    </row>
    <row r="3173" s="3" customFormat="1" ht="18.75" spans="1:5">
      <c r="A3173" s="8" t="str">
        <f t="shared" si="56"/>
        <v>250017</v>
      </c>
      <c r="B3173" s="8" t="str">
        <f>"2561403011417"</f>
        <v>2561403011417</v>
      </c>
      <c r="C3173" s="8" t="s">
        <v>9</v>
      </c>
      <c r="D3173" s="9">
        <v>0</v>
      </c>
      <c r="E3173" s="8">
        <v>30</v>
      </c>
    </row>
    <row r="3174" s="3" customFormat="1" ht="18.75" spans="1:5">
      <c r="A3174" s="8" t="str">
        <f t="shared" si="56"/>
        <v>250017</v>
      </c>
      <c r="B3174" s="8" t="str">
        <f>"2561403011420"</f>
        <v>2561403011420</v>
      </c>
      <c r="C3174" s="8" t="s">
        <v>9</v>
      </c>
      <c r="D3174" s="9">
        <v>0</v>
      </c>
      <c r="E3174" s="8">
        <v>30</v>
      </c>
    </row>
    <row r="3175" s="3" customFormat="1" ht="18.75" spans="1:5">
      <c r="A3175" s="8" t="str">
        <f t="shared" si="56"/>
        <v>250017</v>
      </c>
      <c r="B3175" s="8" t="str">
        <f>"2561403011428"</f>
        <v>2561403011428</v>
      </c>
      <c r="C3175" s="8" t="s">
        <v>9</v>
      </c>
      <c r="D3175" s="9">
        <v>0</v>
      </c>
      <c r="E3175" s="8">
        <v>30</v>
      </c>
    </row>
    <row r="3176" s="3" customFormat="1" ht="18.75" spans="1:5">
      <c r="A3176" s="8" t="str">
        <f t="shared" ref="A3176:A3239" si="57">"250018"</f>
        <v>250018</v>
      </c>
      <c r="B3176" s="8" t="str">
        <f>"2561404011115"</f>
        <v>2561404011115</v>
      </c>
      <c r="C3176" s="8" t="s">
        <v>10</v>
      </c>
      <c r="D3176" s="9">
        <v>77</v>
      </c>
      <c r="E3176" s="8">
        <v>1</v>
      </c>
    </row>
    <row r="3177" s="3" customFormat="1" ht="18.75" spans="1:5">
      <c r="A3177" s="8" t="str">
        <f t="shared" si="57"/>
        <v>250018</v>
      </c>
      <c r="B3177" s="8" t="str">
        <f>"2561404011412"</f>
        <v>2561404011412</v>
      </c>
      <c r="C3177" s="8" t="s">
        <v>10</v>
      </c>
      <c r="D3177" s="9">
        <v>70.77</v>
      </c>
      <c r="E3177" s="8">
        <v>2</v>
      </c>
    </row>
    <row r="3178" s="3" customFormat="1" ht="18.75" spans="1:5">
      <c r="A3178" s="8" t="str">
        <f t="shared" si="57"/>
        <v>250018</v>
      </c>
      <c r="B3178" s="8" t="str">
        <f>"2561404010301"</f>
        <v>2561404010301</v>
      </c>
      <c r="C3178" s="8" t="s">
        <v>10</v>
      </c>
      <c r="D3178" s="9">
        <v>70.48</v>
      </c>
      <c r="E3178" s="8">
        <v>3</v>
      </c>
    </row>
    <row r="3179" s="3" customFormat="1" ht="18.75" spans="1:5">
      <c r="A3179" s="8" t="str">
        <f t="shared" si="57"/>
        <v>250018</v>
      </c>
      <c r="B3179" s="8" t="str">
        <f>"2561404011520"</f>
        <v>2561404011520</v>
      </c>
      <c r="C3179" s="8" t="s">
        <v>10</v>
      </c>
      <c r="D3179" s="9">
        <v>70.21</v>
      </c>
      <c r="E3179" s="8">
        <v>4</v>
      </c>
    </row>
    <row r="3180" s="3" customFormat="1" ht="18.75" spans="1:5">
      <c r="A3180" s="8" t="str">
        <f t="shared" si="57"/>
        <v>250018</v>
      </c>
      <c r="B3180" s="8" t="str">
        <f>"2561404011522"</f>
        <v>2561404011522</v>
      </c>
      <c r="C3180" s="8" t="s">
        <v>10</v>
      </c>
      <c r="D3180" s="9">
        <v>69.8</v>
      </c>
      <c r="E3180" s="8">
        <v>5</v>
      </c>
    </row>
    <row r="3181" s="3" customFormat="1" ht="18.75" spans="1:5">
      <c r="A3181" s="8" t="str">
        <f t="shared" si="57"/>
        <v>250018</v>
      </c>
      <c r="B3181" s="8" t="str">
        <f>"2561404011228"</f>
        <v>2561404011228</v>
      </c>
      <c r="C3181" s="8" t="s">
        <v>10</v>
      </c>
      <c r="D3181" s="9">
        <v>69.23</v>
      </c>
      <c r="E3181" s="8">
        <v>6</v>
      </c>
    </row>
    <row r="3182" s="3" customFormat="1" ht="18.75" spans="1:5">
      <c r="A3182" s="8" t="str">
        <f t="shared" si="57"/>
        <v>250018</v>
      </c>
      <c r="B3182" s="8" t="str">
        <f>"2561404012407"</f>
        <v>2561404012407</v>
      </c>
      <c r="C3182" s="8" t="s">
        <v>10</v>
      </c>
      <c r="D3182" s="9">
        <v>68.78</v>
      </c>
      <c r="E3182" s="8">
        <v>7</v>
      </c>
    </row>
    <row r="3183" s="3" customFormat="1" ht="18.75" spans="1:5">
      <c r="A3183" s="8" t="str">
        <f t="shared" si="57"/>
        <v>250018</v>
      </c>
      <c r="B3183" s="8" t="str">
        <f>"2561404011415"</f>
        <v>2561404011415</v>
      </c>
      <c r="C3183" s="8" t="s">
        <v>10</v>
      </c>
      <c r="D3183" s="9">
        <v>68.55</v>
      </c>
      <c r="E3183" s="8">
        <v>8</v>
      </c>
    </row>
    <row r="3184" s="3" customFormat="1" ht="18.75" spans="1:5">
      <c r="A3184" s="8" t="str">
        <f t="shared" si="57"/>
        <v>250018</v>
      </c>
      <c r="B3184" s="8" t="str">
        <f>"2561404012424"</f>
        <v>2561404012424</v>
      </c>
      <c r="C3184" s="8" t="s">
        <v>10</v>
      </c>
      <c r="D3184" s="9">
        <v>68.25</v>
      </c>
      <c r="E3184" s="8">
        <v>9</v>
      </c>
    </row>
    <row r="3185" s="3" customFormat="1" ht="18.75" spans="1:5">
      <c r="A3185" s="8" t="str">
        <f t="shared" si="57"/>
        <v>250018</v>
      </c>
      <c r="B3185" s="8" t="str">
        <f>"2561404010306"</f>
        <v>2561404010306</v>
      </c>
      <c r="C3185" s="8" t="s">
        <v>10</v>
      </c>
      <c r="D3185" s="9">
        <v>68.2</v>
      </c>
      <c r="E3185" s="8">
        <v>10</v>
      </c>
    </row>
    <row r="3186" s="3" customFormat="1" ht="18.75" spans="1:5">
      <c r="A3186" s="8" t="str">
        <f t="shared" si="57"/>
        <v>250018</v>
      </c>
      <c r="B3186" s="8" t="str">
        <f>"2561404011106"</f>
        <v>2561404011106</v>
      </c>
      <c r="C3186" s="8" t="s">
        <v>10</v>
      </c>
      <c r="D3186" s="9">
        <v>67.78</v>
      </c>
      <c r="E3186" s="8">
        <v>11</v>
      </c>
    </row>
    <row r="3187" s="3" customFormat="1" ht="18.75" spans="1:5">
      <c r="A3187" s="8" t="str">
        <f t="shared" si="57"/>
        <v>250018</v>
      </c>
      <c r="B3187" s="8" t="str">
        <f>"2561404010627"</f>
        <v>2561404010627</v>
      </c>
      <c r="C3187" s="8" t="s">
        <v>10</v>
      </c>
      <c r="D3187" s="9">
        <v>67.62</v>
      </c>
      <c r="E3187" s="8">
        <v>12</v>
      </c>
    </row>
    <row r="3188" s="3" customFormat="1" ht="18.75" spans="1:5">
      <c r="A3188" s="8" t="str">
        <f t="shared" si="57"/>
        <v>250018</v>
      </c>
      <c r="B3188" s="8" t="str">
        <f>"2561404012013"</f>
        <v>2561404012013</v>
      </c>
      <c r="C3188" s="8" t="s">
        <v>10</v>
      </c>
      <c r="D3188" s="9">
        <v>67.58</v>
      </c>
      <c r="E3188" s="8">
        <v>13</v>
      </c>
    </row>
    <row r="3189" s="3" customFormat="1" ht="18.75" spans="1:5">
      <c r="A3189" s="8" t="str">
        <f t="shared" si="57"/>
        <v>250018</v>
      </c>
      <c r="B3189" s="8" t="str">
        <f>"2561404012303"</f>
        <v>2561404012303</v>
      </c>
      <c r="C3189" s="8" t="s">
        <v>10</v>
      </c>
      <c r="D3189" s="9">
        <v>67.58</v>
      </c>
      <c r="E3189" s="8">
        <v>13</v>
      </c>
    </row>
    <row r="3190" s="3" customFormat="1" ht="18.75" spans="1:5">
      <c r="A3190" s="8" t="str">
        <f t="shared" si="57"/>
        <v>250018</v>
      </c>
      <c r="B3190" s="8" t="str">
        <f>"2561404011720"</f>
        <v>2561404011720</v>
      </c>
      <c r="C3190" s="8" t="s">
        <v>10</v>
      </c>
      <c r="D3190" s="9">
        <v>67.57</v>
      </c>
      <c r="E3190" s="8">
        <v>15</v>
      </c>
    </row>
    <row r="3191" s="3" customFormat="1" ht="18.75" spans="1:5">
      <c r="A3191" s="8" t="str">
        <f t="shared" si="57"/>
        <v>250018</v>
      </c>
      <c r="B3191" s="8" t="str">
        <f>"2561404012727"</f>
        <v>2561404012727</v>
      </c>
      <c r="C3191" s="8" t="s">
        <v>10</v>
      </c>
      <c r="D3191" s="9">
        <v>67.56</v>
      </c>
      <c r="E3191" s="8">
        <v>16</v>
      </c>
    </row>
    <row r="3192" s="3" customFormat="1" ht="18.75" spans="1:5">
      <c r="A3192" s="8" t="str">
        <f t="shared" si="57"/>
        <v>250018</v>
      </c>
      <c r="B3192" s="8" t="str">
        <f>"2561404012228"</f>
        <v>2561404012228</v>
      </c>
      <c r="C3192" s="8" t="s">
        <v>10</v>
      </c>
      <c r="D3192" s="9">
        <v>67.34</v>
      </c>
      <c r="E3192" s="8">
        <v>17</v>
      </c>
    </row>
    <row r="3193" s="3" customFormat="1" ht="18.75" spans="1:5">
      <c r="A3193" s="8" t="str">
        <f t="shared" si="57"/>
        <v>250018</v>
      </c>
      <c r="B3193" s="8" t="str">
        <f>"2561404011702"</f>
        <v>2561404011702</v>
      </c>
      <c r="C3193" s="8" t="s">
        <v>10</v>
      </c>
      <c r="D3193" s="9">
        <v>67.24</v>
      </c>
      <c r="E3193" s="8">
        <v>18</v>
      </c>
    </row>
    <row r="3194" s="3" customFormat="1" ht="18.75" spans="1:5">
      <c r="A3194" s="8" t="str">
        <f t="shared" si="57"/>
        <v>250018</v>
      </c>
      <c r="B3194" s="8" t="str">
        <f>"2561404010121"</f>
        <v>2561404010121</v>
      </c>
      <c r="C3194" s="8" t="s">
        <v>10</v>
      </c>
      <c r="D3194" s="9">
        <v>67.23</v>
      </c>
      <c r="E3194" s="8">
        <v>19</v>
      </c>
    </row>
    <row r="3195" s="3" customFormat="1" ht="18.75" spans="1:5">
      <c r="A3195" s="8" t="str">
        <f t="shared" si="57"/>
        <v>250018</v>
      </c>
      <c r="B3195" s="8" t="str">
        <f>"2561404011216"</f>
        <v>2561404011216</v>
      </c>
      <c r="C3195" s="8" t="s">
        <v>10</v>
      </c>
      <c r="D3195" s="9">
        <v>67.15</v>
      </c>
      <c r="E3195" s="8">
        <v>20</v>
      </c>
    </row>
    <row r="3196" s="3" customFormat="1" ht="18.75" spans="1:5">
      <c r="A3196" s="8" t="str">
        <f t="shared" si="57"/>
        <v>250018</v>
      </c>
      <c r="B3196" s="8" t="str">
        <f>"2561404012016"</f>
        <v>2561404012016</v>
      </c>
      <c r="C3196" s="8" t="s">
        <v>10</v>
      </c>
      <c r="D3196" s="9">
        <v>67.05</v>
      </c>
      <c r="E3196" s="8">
        <v>21</v>
      </c>
    </row>
    <row r="3197" s="3" customFormat="1" ht="18.75" spans="1:5">
      <c r="A3197" s="8" t="str">
        <f t="shared" si="57"/>
        <v>250018</v>
      </c>
      <c r="B3197" s="8" t="str">
        <f>"2561404012216"</f>
        <v>2561404012216</v>
      </c>
      <c r="C3197" s="8" t="s">
        <v>10</v>
      </c>
      <c r="D3197" s="9">
        <v>66.94</v>
      </c>
      <c r="E3197" s="8">
        <v>22</v>
      </c>
    </row>
    <row r="3198" s="3" customFormat="1" ht="18.75" spans="1:5">
      <c r="A3198" s="8" t="str">
        <f t="shared" si="57"/>
        <v>250018</v>
      </c>
      <c r="B3198" s="8" t="str">
        <f>"2561404010414"</f>
        <v>2561404010414</v>
      </c>
      <c r="C3198" s="8" t="s">
        <v>10</v>
      </c>
      <c r="D3198" s="9">
        <v>66.79</v>
      </c>
      <c r="E3198" s="8">
        <v>23</v>
      </c>
    </row>
    <row r="3199" s="3" customFormat="1" ht="18.75" spans="1:5">
      <c r="A3199" s="8" t="str">
        <f t="shared" si="57"/>
        <v>250018</v>
      </c>
      <c r="B3199" s="8" t="str">
        <f>"2561404010501"</f>
        <v>2561404010501</v>
      </c>
      <c r="C3199" s="8" t="s">
        <v>10</v>
      </c>
      <c r="D3199" s="9">
        <v>66.56</v>
      </c>
      <c r="E3199" s="8">
        <v>24</v>
      </c>
    </row>
    <row r="3200" s="3" customFormat="1" ht="18.75" spans="1:5">
      <c r="A3200" s="8" t="str">
        <f t="shared" si="57"/>
        <v>250018</v>
      </c>
      <c r="B3200" s="8" t="str">
        <f>"2561404010129"</f>
        <v>2561404010129</v>
      </c>
      <c r="C3200" s="8" t="s">
        <v>10</v>
      </c>
      <c r="D3200" s="9">
        <v>66.49</v>
      </c>
      <c r="E3200" s="8">
        <v>25</v>
      </c>
    </row>
    <row r="3201" s="3" customFormat="1" ht="18.75" spans="1:5">
      <c r="A3201" s="8" t="str">
        <f t="shared" si="57"/>
        <v>250018</v>
      </c>
      <c r="B3201" s="8" t="str">
        <f>"2561404011828"</f>
        <v>2561404011828</v>
      </c>
      <c r="C3201" s="8" t="s">
        <v>10</v>
      </c>
      <c r="D3201" s="9">
        <v>66.22</v>
      </c>
      <c r="E3201" s="8">
        <v>26</v>
      </c>
    </row>
    <row r="3202" s="3" customFormat="1" ht="18.75" spans="1:5">
      <c r="A3202" s="8" t="str">
        <f t="shared" si="57"/>
        <v>250018</v>
      </c>
      <c r="B3202" s="8" t="str">
        <f>"2561404010917"</f>
        <v>2561404010917</v>
      </c>
      <c r="C3202" s="8" t="s">
        <v>10</v>
      </c>
      <c r="D3202" s="9">
        <v>66.1</v>
      </c>
      <c r="E3202" s="8">
        <v>27</v>
      </c>
    </row>
    <row r="3203" s="3" customFormat="1" ht="18.75" spans="1:5">
      <c r="A3203" s="8" t="str">
        <f t="shared" si="57"/>
        <v>250018</v>
      </c>
      <c r="B3203" s="8" t="str">
        <f>"2561404011902"</f>
        <v>2561404011902</v>
      </c>
      <c r="C3203" s="8" t="s">
        <v>10</v>
      </c>
      <c r="D3203" s="9">
        <v>66.02</v>
      </c>
      <c r="E3203" s="8">
        <v>28</v>
      </c>
    </row>
    <row r="3204" s="3" customFormat="1" ht="18.75" spans="1:5">
      <c r="A3204" s="8" t="str">
        <f t="shared" si="57"/>
        <v>250018</v>
      </c>
      <c r="B3204" s="8" t="str">
        <f>"2561404011815"</f>
        <v>2561404011815</v>
      </c>
      <c r="C3204" s="8" t="s">
        <v>10</v>
      </c>
      <c r="D3204" s="9">
        <v>65.93</v>
      </c>
      <c r="E3204" s="8">
        <v>29</v>
      </c>
    </row>
    <row r="3205" s="3" customFormat="1" ht="18.75" spans="1:5">
      <c r="A3205" s="8" t="str">
        <f t="shared" si="57"/>
        <v>250018</v>
      </c>
      <c r="B3205" s="8" t="str">
        <f>"2561404012725"</f>
        <v>2561404012725</v>
      </c>
      <c r="C3205" s="8" t="s">
        <v>10</v>
      </c>
      <c r="D3205" s="9">
        <v>65.73</v>
      </c>
      <c r="E3205" s="8">
        <v>30</v>
      </c>
    </row>
    <row r="3206" s="3" customFormat="1" ht="18.75" spans="1:5">
      <c r="A3206" s="8" t="str">
        <f t="shared" si="57"/>
        <v>250018</v>
      </c>
      <c r="B3206" s="8" t="str">
        <f>"2561404012826"</f>
        <v>2561404012826</v>
      </c>
      <c r="C3206" s="8" t="s">
        <v>10</v>
      </c>
      <c r="D3206" s="9">
        <v>65.52</v>
      </c>
      <c r="E3206" s="8">
        <v>31</v>
      </c>
    </row>
    <row r="3207" s="3" customFormat="1" ht="18.75" spans="1:5">
      <c r="A3207" s="8" t="str">
        <f t="shared" si="57"/>
        <v>250018</v>
      </c>
      <c r="B3207" s="8" t="str">
        <f>"2561404010123"</f>
        <v>2561404010123</v>
      </c>
      <c r="C3207" s="8" t="s">
        <v>10</v>
      </c>
      <c r="D3207" s="9">
        <v>65.45</v>
      </c>
      <c r="E3207" s="8">
        <v>32</v>
      </c>
    </row>
    <row r="3208" s="3" customFormat="1" ht="18.75" spans="1:5">
      <c r="A3208" s="8" t="str">
        <f t="shared" si="57"/>
        <v>250018</v>
      </c>
      <c r="B3208" s="8" t="str">
        <f>"2561404010422"</f>
        <v>2561404010422</v>
      </c>
      <c r="C3208" s="8" t="s">
        <v>10</v>
      </c>
      <c r="D3208" s="9">
        <v>65.38</v>
      </c>
      <c r="E3208" s="8">
        <v>33</v>
      </c>
    </row>
    <row r="3209" s="3" customFormat="1" ht="18.75" spans="1:5">
      <c r="A3209" s="8" t="str">
        <f t="shared" si="57"/>
        <v>250018</v>
      </c>
      <c r="B3209" s="8" t="str">
        <f>"2561404011024"</f>
        <v>2561404011024</v>
      </c>
      <c r="C3209" s="8" t="s">
        <v>10</v>
      </c>
      <c r="D3209" s="9">
        <v>65.23</v>
      </c>
      <c r="E3209" s="8">
        <v>34</v>
      </c>
    </row>
    <row r="3210" s="3" customFormat="1" ht="18.75" spans="1:5">
      <c r="A3210" s="8" t="str">
        <f t="shared" si="57"/>
        <v>250018</v>
      </c>
      <c r="B3210" s="8" t="str">
        <f>"2561404012821"</f>
        <v>2561404012821</v>
      </c>
      <c r="C3210" s="8" t="s">
        <v>10</v>
      </c>
      <c r="D3210" s="9">
        <v>65.22</v>
      </c>
      <c r="E3210" s="8">
        <v>35</v>
      </c>
    </row>
    <row r="3211" s="3" customFormat="1" ht="18.75" spans="1:5">
      <c r="A3211" s="8" t="str">
        <f t="shared" si="57"/>
        <v>250018</v>
      </c>
      <c r="B3211" s="8" t="str">
        <f>"2561404010224"</f>
        <v>2561404010224</v>
      </c>
      <c r="C3211" s="8" t="s">
        <v>10</v>
      </c>
      <c r="D3211" s="9">
        <v>65.15</v>
      </c>
      <c r="E3211" s="8">
        <v>36</v>
      </c>
    </row>
    <row r="3212" s="3" customFormat="1" ht="18.75" spans="1:5">
      <c r="A3212" s="8" t="str">
        <f t="shared" si="57"/>
        <v>250018</v>
      </c>
      <c r="B3212" s="8" t="str">
        <f>"2561404011719"</f>
        <v>2561404011719</v>
      </c>
      <c r="C3212" s="8" t="s">
        <v>10</v>
      </c>
      <c r="D3212" s="9">
        <v>65.12</v>
      </c>
      <c r="E3212" s="8">
        <v>37</v>
      </c>
    </row>
    <row r="3213" s="3" customFormat="1" ht="18.75" spans="1:5">
      <c r="A3213" s="8" t="str">
        <f t="shared" si="57"/>
        <v>250018</v>
      </c>
      <c r="B3213" s="8" t="str">
        <f>"2561404011215"</f>
        <v>2561404011215</v>
      </c>
      <c r="C3213" s="8" t="s">
        <v>10</v>
      </c>
      <c r="D3213" s="9">
        <v>65.08</v>
      </c>
      <c r="E3213" s="8">
        <v>38</v>
      </c>
    </row>
    <row r="3214" s="3" customFormat="1" ht="18.75" spans="1:5">
      <c r="A3214" s="8" t="str">
        <f t="shared" si="57"/>
        <v>250018</v>
      </c>
      <c r="B3214" s="8" t="str">
        <f>"2561404011922"</f>
        <v>2561404011922</v>
      </c>
      <c r="C3214" s="8" t="s">
        <v>10</v>
      </c>
      <c r="D3214" s="9">
        <v>65.04</v>
      </c>
      <c r="E3214" s="8">
        <v>39</v>
      </c>
    </row>
    <row r="3215" s="3" customFormat="1" ht="18.75" spans="1:5">
      <c r="A3215" s="8" t="str">
        <f t="shared" si="57"/>
        <v>250018</v>
      </c>
      <c r="B3215" s="8" t="str">
        <f>"2561404012212"</f>
        <v>2561404012212</v>
      </c>
      <c r="C3215" s="8" t="s">
        <v>10</v>
      </c>
      <c r="D3215" s="9">
        <v>65.02</v>
      </c>
      <c r="E3215" s="8">
        <v>40</v>
      </c>
    </row>
    <row r="3216" s="3" customFormat="1" ht="18.75" spans="1:5">
      <c r="A3216" s="8" t="str">
        <f t="shared" si="57"/>
        <v>250018</v>
      </c>
      <c r="B3216" s="8" t="str">
        <f>"2561404010427"</f>
        <v>2561404010427</v>
      </c>
      <c r="C3216" s="8" t="s">
        <v>10</v>
      </c>
      <c r="D3216" s="9">
        <v>65</v>
      </c>
      <c r="E3216" s="8">
        <v>41</v>
      </c>
    </row>
    <row r="3217" s="3" customFormat="1" ht="18.75" spans="1:5">
      <c r="A3217" s="8" t="str">
        <f t="shared" si="57"/>
        <v>250018</v>
      </c>
      <c r="B3217" s="8" t="str">
        <f>"2561404012404"</f>
        <v>2561404012404</v>
      </c>
      <c r="C3217" s="8" t="s">
        <v>10</v>
      </c>
      <c r="D3217" s="9">
        <v>64.74</v>
      </c>
      <c r="E3217" s="8">
        <v>42</v>
      </c>
    </row>
    <row r="3218" s="3" customFormat="1" ht="18.75" spans="1:5">
      <c r="A3218" s="8" t="str">
        <f t="shared" si="57"/>
        <v>250018</v>
      </c>
      <c r="B3218" s="8" t="str">
        <f>"2561404011027"</f>
        <v>2561404011027</v>
      </c>
      <c r="C3218" s="8" t="s">
        <v>10</v>
      </c>
      <c r="D3218" s="9">
        <v>64.67</v>
      </c>
      <c r="E3218" s="8">
        <v>43</v>
      </c>
    </row>
    <row r="3219" s="3" customFormat="1" ht="18.75" spans="1:5">
      <c r="A3219" s="8" t="str">
        <f t="shared" si="57"/>
        <v>250018</v>
      </c>
      <c r="B3219" s="8" t="str">
        <f>"2561404011023"</f>
        <v>2561404011023</v>
      </c>
      <c r="C3219" s="8" t="s">
        <v>10</v>
      </c>
      <c r="D3219" s="9">
        <v>64.66</v>
      </c>
      <c r="E3219" s="8">
        <v>44</v>
      </c>
    </row>
    <row r="3220" s="3" customFormat="1" ht="18.75" spans="1:5">
      <c r="A3220" s="8" t="str">
        <f t="shared" si="57"/>
        <v>250018</v>
      </c>
      <c r="B3220" s="8" t="str">
        <f>"2561404012010"</f>
        <v>2561404012010</v>
      </c>
      <c r="C3220" s="8" t="s">
        <v>10</v>
      </c>
      <c r="D3220" s="9">
        <v>64.44</v>
      </c>
      <c r="E3220" s="8">
        <v>45</v>
      </c>
    </row>
    <row r="3221" s="3" customFormat="1" ht="18.75" spans="1:5">
      <c r="A3221" s="8" t="str">
        <f t="shared" si="57"/>
        <v>250018</v>
      </c>
      <c r="B3221" s="8" t="str">
        <f>"2561404011805"</f>
        <v>2561404011805</v>
      </c>
      <c r="C3221" s="8" t="s">
        <v>10</v>
      </c>
      <c r="D3221" s="9">
        <v>64.15</v>
      </c>
      <c r="E3221" s="8">
        <v>46</v>
      </c>
    </row>
    <row r="3222" s="3" customFormat="1" ht="18.75" spans="1:5">
      <c r="A3222" s="8" t="str">
        <f t="shared" si="57"/>
        <v>250018</v>
      </c>
      <c r="B3222" s="8" t="str">
        <f>"2561404012206"</f>
        <v>2561404012206</v>
      </c>
      <c r="C3222" s="8" t="s">
        <v>10</v>
      </c>
      <c r="D3222" s="9">
        <v>64.11</v>
      </c>
      <c r="E3222" s="8">
        <v>47</v>
      </c>
    </row>
    <row r="3223" s="3" customFormat="1" ht="18.75" spans="1:5">
      <c r="A3223" s="8" t="str">
        <f t="shared" si="57"/>
        <v>250018</v>
      </c>
      <c r="B3223" s="8" t="str">
        <f>"2561404011508"</f>
        <v>2561404011508</v>
      </c>
      <c r="C3223" s="8" t="s">
        <v>10</v>
      </c>
      <c r="D3223" s="9">
        <v>64</v>
      </c>
      <c r="E3223" s="8">
        <v>48</v>
      </c>
    </row>
    <row r="3224" s="3" customFormat="1" ht="18.75" spans="1:5">
      <c r="A3224" s="8" t="str">
        <f t="shared" si="57"/>
        <v>250018</v>
      </c>
      <c r="B3224" s="8" t="str">
        <f>"2561404012420"</f>
        <v>2561404012420</v>
      </c>
      <c r="C3224" s="8" t="s">
        <v>10</v>
      </c>
      <c r="D3224" s="9">
        <v>63.98</v>
      </c>
      <c r="E3224" s="8">
        <v>49</v>
      </c>
    </row>
    <row r="3225" s="3" customFormat="1" ht="18.75" spans="1:5">
      <c r="A3225" s="8" t="str">
        <f t="shared" si="57"/>
        <v>250018</v>
      </c>
      <c r="B3225" s="8" t="str">
        <f>"2561404011306"</f>
        <v>2561404011306</v>
      </c>
      <c r="C3225" s="8" t="s">
        <v>10</v>
      </c>
      <c r="D3225" s="9">
        <v>63.97</v>
      </c>
      <c r="E3225" s="8">
        <v>50</v>
      </c>
    </row>
    <row r="3226" s="3" customFormat="1" ht="18.75" spans="1:5">
      <c r="A3226" s="8" t="str">
        <f t="shared" si="57"/>
        <v>250018</v>
      </c>
      <c r="B3226" s="8" t="str">
        <f>"2561404013027"</f>
        <v>2561404013027</v>
      </c>
      <c r="C3226" s="8" t="s">
        <v>10</v>
      </c>
      <c r="D3226" s="9">
        <v>63.9</v>
      </c>
      <c r="E3226" s="8">
        <v>51</v>
      </c>
    </row>
    <row r="3227" s="3" customFormat="1" ht="18.75" spans="1:5">
      <c r="A3227" s="8" t="str">
        <f t="shared" si="57"/>
        <v>250018</v>
      </c>
      <c r="B3227" s="8" t="str">
        <f>"2561404012327"</f>
        <v>2561404012327</v>
      </c>
      <c r="C3227" s="8" t="s">
        <v>10</v>
      </c>
      <c r="D3227" s="9">
        <v>63.84</v>
      </c>
      <c r="E3227" s="8">
        <v>52</v>
      </c>
    </row>
    <row r="3228" s="3" customFormat="1" ht="18.75" spans="1:5">
      <c r="A3228" s="8" t="str">
        <f t="shared" si="57"/>
        <v>250018</v>
      </c>
      <c r="B3228" s="8" t="str">
        <f>"2561404012815"</f>
        <v>2561404012815</v>
      </c>
      <c r="C3228" s="8" t="s">
        <v>10</v>
      </c>
      <c r="D3228" s="9">
        <v>63.77</v>
      </c>
      <c r="E3228" s="8">
        <v>53</v>
      </c>
    </row>
    <row r="3229" s="3" customFormat="1" ht="18.75" spans="1:5">
      <c r="A3229" s="8" t="str">
        <f t="shared" si="57"/>
        <v>250018</v>
      </c>
      <c r="B3229" s="8" t="str">
        <f>"2561404010204"</f>
        <v>2561404010204</v>
      </c>
      <c r="C3229" s="8" t="s">
        <v>10</v>
      </c>
      <c r="D3229" s="9">
        <v>63.51</v>
      </c>
      <c r="E3229" s="8">
        <v>54</v>
      </c>
    </row>
    <row r="3230" s="3" customFormat="1" ht="18.75" spans="1:5">
      <c r="A3230" s="8" t="str">
        <f t="shared" si="57"/>
        <v>250018</v>
      </c>
      <c r="B3230" s="8" t="str">
        <f>"2561404012019"</f>
        <v>2561404012019</v>
      </c>
      <c r="C3230" s="8" t="s">
        <v>10</v>
      </c>
      <c r="D3230" s="9">
        <v>63.25</v>
      </c>
      <c r="E3230" s="8">
        <v>55</v>
      </c>
    </row>
    <row r="3231" s="3" customFormat="1" ht="18.75" spans="1:5">
      <c r="A3231" s="8" t="str">
        <f t="shared" si="57"/>
        <v>250018</v>
      </c>
      <c r="B3231" s="8" t="str">
        <f>"2561404012128"</f>
        <v>2561404012128</v>
      </c>
      <c r="C3231" s="8" t="s">
        <v>10</v>
      </c>
      <c r="D3231" s="9">
        <v>63.05</v>
      </c>
      <c r="E3231" s="8">
        <v>56</v>
      </c>
    </row>
    <row r="3232" s="3" customFormat="1" ht="18.75" spans="1:5">
      <c r="A3232" s="8" t="str">
        <f t="shared" si="57"/>
        <v>250018</v>
      </c>
      <c r="B3232" s="8" t="str">
        <f>"2561404011025"</f>
        <v>2561404011025</v>
      </c>
      <c r="C3232" s="8" t="s">
        <v>10</v>
      </c>
      <c r="D3232" s="9">
        <v>63.01</v>
      </c>
      <c r="E3232" s="8">
        <v>57</v>
      </c>
    </row>
    <row r="3233" s="3" customFormat="1" ht="18.75" spans="1:5">
      <c r="A3233" s="8" t="str">
        <f t="shared" si="57"/>
        <v>250018</v>
      </c>
      <c r="B3233" s="8" t="str">
        <f>"2561404011128"</f>
        <v>2561404011128</v>
      </c>
      <c r="C3233" s="8" t="s">
        <v>10</v>
      </c>
      <c r="D3233" s="9">
        <v>63</v>
      </c>
      <c r="E3233" s="8">
        <v>58</v>
      </c>
    </row>
    <row r="3234" s="3" customFormat="1" ht="18.75" spans="1:5">
      <c r="A3234" s="8" t="str">
        <f t="shared" si="57"/>
        <v>250018</v>
      </c>
      <c r="B3234" s="8" t="str">
        <f>"2561404010817"</f>
        <v>2561404010817</v>
      </c>
      <c r="C3234" s="8" t="s">
        <v>10</v>
      </c>
      <c r="D3234" s="9">
        <v>62.98</v>
      </c>
      <c r="E3234" s="8">
        <v>59</v>
      </c>
    </row>
    <row r="3235" s="3" customFormat="1" ht="18.75" spans="1:5">
      <c r="A3235" s="8" t="str">
        <f t="shared" si="57"/>
        <v>250018</v>
      </c>
      <c r="B3235" s="8" t="str">
        <f>"2561404013028"</f>
        <v>2561404013028</v>
      </c>
      <c r="C3235" s="8" t="s">
        <v>10</v>
      </c>
      <c r="D3235" s="9">
        <v>62.79</v>
      </c>
      <c r="E3235" s="8">
        <v>60</v>
      </c>
    </row>
    <row r="3236" s="3" customFormat="1" ht="18.75" spans="1:5">
      <c r="A3236" s="8" t="str">
        <f t="shared" si="57"/>
        <v>250018</v>
      </c>
      <c r="B3236" s="8" t="str">
        <f>"2561404011030"</f>
        <v>2561404011030</v>
      </c>
      <c r="C3236" s="8" t="s">
        <v>10</v>
      </c>
      <c r="D3236" s="9">
        <v>62.56</v>
      </c>
      <c r="E3236" s="8">
        <v>61</v>
      </c>
    </row>
    <row r="3237" s="3" customFormat="1" ht="18.75" spans="1:5">
      <c r="A3237" s="8" t="str">
        <f t="shared" si="57"/>
        <v>250018</v>
      </c>
      <c r="B3237" s="8" t="str">
        <f>"2561404010523"</f>
        <v>2561404010523</v>
      </c>
      <c r="C3237" s="8" t="s">
        <v>10</v>
      </c>
      <c r="D3237" s="9">
        <v>62.49</v>
      </c>
      <c r="E3237" s="8">
        <v>62</v>
      </c>
    </row>
    <row r="3238" s="3" customFormat="1" ht="18.75" spans="1:5">
      <c r="A3238" s="8" t="str">
        <f t="shared" si="57"/>
        <v>250018</v>
      </c>
      <c r="B3238" s="8" t="str">
        <f>"2561404010320"</f>
        <v>2561404010320</v>
      </c>
      <c r="C3238" s="8" t="s">
        <v>10</v>
      </c>
      <c r="D3238" s="9">
        <v>62.47</v>
      </c>
      <c r="E3238" s="8">
        <v>63</v>
      </c>
    </row>
    <row r="3239" s="3" customFormat="1" ht="18.75" spans="1:5">
      <c r="A3239" s="8" t="str">
        <f t="shared" si="57"/>
        <v>250018</v>
      </c>
      <c r="B3239" s="8" t="str">
        <f>"2561404012517"</f>
        <v>2561404012517</v>
      </c>
      <c r="C3239" s="8" t="s">
        <v>10</v>
      </c>
      <c r="D3239" s="9">
        <v>62.43</v>
      </c>
      <c r="E3239" s="8">
        <v>64</v>
      </c>
    </row>
    <row r="3240" s="3" customFormat="1" ht="18.75" spans="1:5">
      <c r="A3240" s="8" t="str">
        <f t="shared" ref="A3240:A3303" si="58">"250018"</f>
        <v>250018</v>
      </c>
      <c r="B3240" s="8" t="str">
        <f>"2561404012221"</f>
        <v>2561404012221</v>
      </c>
      <c r="C3240" s="8" t="s">
        <v>10</v>
      </c>
      <c r="D3240" s="9">
        <v>62.4</v>
      </c>
      <c r="E3240" s="8">
        <v>65</v>
      </c>
    </row>
    <row r="3241" s="3" customFormat="1" ht="18.75" spans="1:5">
      <c r="A3241" s="8" t="str">
        <f t="shared" si="58"/>
        <v>250018</v>
      </c>
      <c r="B3241" s="8" t="str">
        <f>"2561404011816"</f>
        <v>2561404011816</v>
      </c>
      <c r="C3241" s="8" t="s">
        <v>10</v>
      </c>
      <c r="D3241" s="9">
        <v>62.32</v>
      </c>
      <c r="E3241" s="8">
        <v>66</v>
      </c>
    </row>
    <row r="3242" s="3" customFormat="1" ht="18.75" spans="1:5">
      <c r="A3242" s="8" t="str">
        <f t="shared" si="58"/>
        <v>250018</v>
      </c>
      <c r="B3242" s="8" t="str">
        <f>"2561404012113"</f>
        <v>2561404012113</v>
      </c>
      <c r="C3242" s="8" t="s">
        <v>10</v>
      </c>
      <c r="D3242" s="9">
        <v>62.31</v>
      </c>
      <c r="E3242" s="8">
        <v>67</v>
      </c>
    </row>
    <row r="3243" s="3" customFormat="1" ht="18.75" spans="1:5">
      <c r="A3243" s="8" t="str">
        <f t="shared" si="58"/>
        <v>250018</v>
      </c>
      <c r="B3243" s="8" t="str">
        <f>"2561404011721"</f>
        <v>2561404011721</v>
      </c>
      <c r="C3243" s="8" t="s">
        <v>10</v>
      </c>
      <c r="D3243" s="9">
        <v>62.14</v>
      </c>
      <c r="E3243" s="8">
        <v>68</v>
      </c>
    </row>
    <row r="3244" s="3" customFormat="1" ht="18.75" spans="1:5">
      <c r="A3244" s="8" t="str">
        <f t="shared" si="58"/>
        <v>250018</v>
      </c>
      <c r="B3244" s="8" t="str">
        <f>"2561404011806"</f>
        <v>2561404011806</v>
      </c>
      <c r="C3244" s="8" t="s">
        <v>10</v>
      </c>
      <c r="D3244" s="9">
        <v>62.09</v>
      </c>
      <c r="E3244" s="8">
        <v>69</v>
      </c>
    </row>
    <row r="3245" s="3" customFormat="1" ht="18.75" spans="1:5">
      <c r="A3245" s="8" t="str">
        <f t="shared" si="58"/>
        <v>250018</v>
      </c>
      <c r="B3245" s="8" t="str">
        <f>"2561404010615"</f>
        <v>2561404010615</v>
      </c>
      <c r="C3245" s="8" t="s">
        <v>10</v>
      </c>
      <c r="D3245" s="9">
        <v>61.99</v>
      </c>
      <c r="E3245" s="8">
        <v>70</v>
      </c>
    </row>
    <row r="3246" s="3" customFormat="1" ht="18.75" spans="1:5">
      <c r="A3246" s="8" t="str">
        <f t="shared" si="58"/>
        <v>250018</v>
      </c>
      <c r="B3246" s="8" t="str">
        <f>"2561404011429"</f>
        <v>2561404011429</v>
      </c>
      <c r="C3246" s="8" t="s">
        <v>10</v>
      </c>
      <c r="D3246" s="9">
        <v>61.99</v>
      </c>
      <c r="E3246" s="8">
        <v>70</v>
      </c>
    </row>
    <row r="3247" s="3" customFormat="1" ht="18.75" spans="1:5">
      <c r="A3247" s="8" t="str">
        <f t="shared" si="58"/>
        <v>250018</v>
      </c>
      <c r="B3247" s="8" t="str">
        <f>"2561404012502"</f>
        <v>2561404012502</v>
      </c>
      <c r="C3247" s="8" t="s">
        <v>10</v>
      </c>
      <c r="D3247" s="9">
        <v>61.89</v>
      </c>
      <c r="E3247" s="8">
        <v>72</v>
      </c>
    </row>
    <row r="3248" s="3" customFormat="1" ht="18.75" spans="1:5">
      <c r="A3248" s="8" t="str">
        <f t="shared" si="58"/>
        <v>250018</v>
      </c>
      <c r="B3248" s="8" t="str">
        <f>"2561404012112"</f>
        <v>2561404012112</v>
      </c>
      <c r="C3248" s="8" t="s">
        <v>10</v>
      </c>
      <c r="D3248" s="9">
        <v>61.78</v>
      </c>
      <c r="E3248" s="8">
        <v>73</v>
      </c>
    </row>
    <row r="3249" s="3" customFormat="1" ht="18.75" spans="1:5">
      <c r="A3249" s="8" t="str">
        <f t="shared" si="58"/>
        <v>250018</v>
      </c>
      <c r="B3249" s="8" t="str">
        <f>"2561404010323"</f>
        <v>2561404010323</v>
      </c>
      <c r="C3249" s="8" t="s">
        <v>10</v>
      </c>
      <c r="D3249" s="9">
        <v>61.72</v>
      </c>
      <c r="E3249" s="8">
        <v>74</v>
      </c>
    </row>
    <row r="3250" s="3" customFormat="1" ht="18.75" spans="1:5">
      <c r="A3250" s="8" t="str">
        <f t="shared" si="58"/>
        <v>250018</v>
      </c>
      <c r="B3250" s="8" t="str">
        <f>"2561404011201"</f>
        <v>2561404011201</v>
      </c>
      <c r="C3250" s="8" t="s">
        <v>10</v>
      </c>
      <c r="D3250" s="9">
        <v>61.71</v>
      </c>
      <c r="E3250" s="8">
        <v>75</v>
      </c>
    </row>
    <row r="3251" s="3" customFormat="1" ht="18.75" spans="1:5">
      <c r="A3251" s="8" t="str">
        <f t="shared" si="58"/>
        <v>250018</v>
      </c>
      <c r="B3251" s="8" t="str">
        <f>"2561404011226"</f>
        <v>2561404011226</v>
      </c>
      <c r="C3251" s="8" t="s">
        <v>10</v>
      </c>
      <c r="D3251" s="9">
        <v>61.63</v>
      </c>
      <c r="E3251" s="8">
        <v>76</v>
      </c>
    </row>
    <row r="3252" s="3" customFormat="1" ht="18.75" spans="1:5">
      <c r="A3252" s="8" t="str">
        <f t="shared" si="58"/>
        <v>250018</v>
      </c>
      <c r="B3252" s="8" t="str">
        <f>"2561404012308"</f>
        <v>2561404012308</v>
      </c>
      <c r="C3252" s="8" t="s">
        <v>10</v>
      </c>
      <c r="D3252" s="9">
        <v>61.61</v>
      </c>
      <c r="E3252" s="8">
        <v>77</v>
      </c>
    </row>
    <row r="3253" s="3" customFormat="1" ht="18.75" spans="1:5">
      <c r="A3253" s="8" t="str">
        <f t="shared" si="58"/>
        <v>250018</v>
      </c>
      <c r="B3253" s="8" t="str">
        <f>"2561404011913"</f>
        <v>2561404011913</v>
      </c>
      <c r="C3253" s="8" t="s">
        <v>10</v>
      </c>
      <c r="D3253" s="9">
        <v>61.48</v>
      </c>
      <c r="E3253" s="8">
        <v>78</v>
      </c>
    </row>
    <row r="3254" s="3" customFormat="1" ht="18.75" spans="1:5">
      <c r="A3254" s="8" t="str">
        <f t="shared" si="58"/>
        <v>250018</v>
      </c>
      <c r="B3254" s="8" t="str">
        <f>"2561404010814"</f>
        <v>2561404010814</v>
      </c>
      <c r="C3254" s="8" t="s">
        <v>10</v>
      </c>
      <c r="D3254" s="9">
        <v>61.47</v>
      </c>
      <c r="E3254" s="8">
        <v>79</v>
      </c>
    </row>
    <row r="3255" s="3" customFormat="1" ht="18.75" spans="1:5">
      <c r="A3255" s="8" t="str">
        <f t="shared" si="58"/>
        <v>250018</v>
      </c>
      <c r="B3255" s="8" t="str">
        <f>"2561404010726"</f>
        <v>2561404010726</v>
      </c>
      <c r="C3255" s="8" t="s">
        <v>10</v>
      </c>
      <c r="D3255" s="9">
        <v>61.44</v>
      </c>
      <c r="E3255" s="8">
        <v>80</v>
      </c>
    </row>
    <row r="3256" s="3" customFormat="1" ht="18.75" spans="1:5">
      <c r="A3256" s="8" t="str">
        <f t="shared" si="58"/>
        <v>250018</v>
      </c>
      <c r="B3256" s="8" t="str">
        <f>"2561404012121"</f>
        <v>2561404012121</v>
      </c>
      <c r="C3256" s="8" t="s">
        <v>10</v>
      </c>
      <c r="D3256" s="9">
        <v>61.42</v>
      </c>
      <c r="E3256" s="8">
        <v>81</v>
      </c>
    </row>
    <row r="3257" s="3" customFormat="1" ht="18.75" spans="1:5">
      <c r="A3257" s="8" t="str">
        <f t="shared" si="58"/>
        <v>250018</v>
      </c>
      <c r="B3257" s="8" t="str">
        <f>"2561404012706"</f>
        <v>2561404012706</v>
      </c>
      <c r="C3257" s="8" t="s">
        <v>10</v>
      </c>
      <c r="D3257" s="9">
        <v>61.26</v>
      </c>
      <c r="E3257" s="8">
        <v>82</v>
      </c>
    </row>
    <row r="3258" s="3" customFormat="1" ht="18.75" spans="1:5">
      <c r="A3258" s="8" t="str">
        <f t="shared" si="58"/>
        <v>250018</v>
      </c>
      <c r="B3258" s="8" t="str">
        <f>"2561404010504"</f>
        <v>2561404010504</v>
      </c>
      <c r="C3258" s="8" t="s">
        <v>10</v>
      </c>
      <c r="D3258" s="9">
        <v>61.25</v>
      </c>
      <c r="E3258" s="8">
        <v>83</v>
      </c>
    </row>
    <row r="3259" s="3" customFormat="1" ht="18.75" spans="1:5">
      <c r="A3259" s="8" t="str">
        <f t="shared" si="58"/>
        <v>250018</v>
      </c>
      <c r="B3259" s="8" t="str">
        <f>"2561404012524"</f>
        <v>2561404012524</v>
      </c>
      <c r="C3259" s="8" t="s">
        <v>10</v>
      </c>
      <c r="D3259" s="9">
        <v>61.22</v>
      </c>
      <c r="E3259" s="8">
        <v>84</v>
      </c>
    </row>
    <row r="3260" s="3" customFormat="1" ht="18.75" spans="1:5">
      <c r="A3260" s="8" t="str">
        <f t="shared" si="58"/>
        <v>250018</v>
      </c>
      <c r="B3260" s="8" t="str">
        <f>"2561404012114"</f>
        <v>2561404012114</v>
      </c>
      <c r="C3260" s="8" t="s">
        <v>10</v>
      </c>
      <c r="D3260" s="9">
        <v>61.17</v>
      </c>
      <c r="E3260" s="8">
        <v>85</v>
      </c>
    </row>
    <row r="3261" s="3" customFormat="1" ht="18.75" spans="1:5">
      <c r="A3261" s="8" t="str">
        <f t="shared" si="58"/>
        <v>250018</v>
      </c>
      <c r="B3261" s="8" t="str">
        <f>"2561404012528"</f>
        <v>2561404012528</v>
      </c>
      <c r="C3261" s="8" t="s">
        <v>10</v>
      </c>
      <c r="D3261" s="9">
        <v>61.04</v>
      </c>
      <c r="E3261" s="8">
        <v>86</v>
      </c>
    </row>
    <row r="3262" s="3" customFormat="1" ht="18.75" spans="1:5">
      <c r="A3262" s="8" t="str">
        <f t="shared" si="58"/>
        <v>250018</v>
      </c>
      <c r="B3262" s="8" t="str">
        <f>"2561404010114"</f>
        <v>2561404010114</v>
      </c>
      <c r="C3262" s="8" t="s">
        <v>10</v>
      </c>
      <c r="D3262" s="9">
        <v>60.93</v>
      </c>
      <c r="E3262" s="8">
        <v>87</v>
      </c>
    </row>
    <row r="3263" s="3" customFormat="1" ht="18.75" spans="1:5">
      <c r="A3263" s="8" t="str">
        <f t="shared" si="58"/>
        <v>250018</v>
      </c>
      <c r="B3263" s="8" t="str">
        <f>"2561404010411"</f>
        <v>2561404010411</v>
      </c>
      <c r="C3263" s="8" t="s">
        <v>10</v>
      </c>
      <c r="D3263" s="9">
        <v>60.85</v>
      </c>
      <c r="E3263" s="8">
        <v>88</v>
      </c>
    </row>
    <row r="3264" s="3" customFormat="1" ht="18.75" spans="1:5">
      <c r="A3264" s="8" t="str">
        <f t="shared" si="58"/>
        <v>250018</v>
      </c>
      <c r="B3264" s="8" t="str">
        <f>"2561404012818"</f>
        <v>2561404012818</v>
      </c>
      <c r="C3264" s="8" t="s">
        <v>10</v>
      </c>
      <c r="D3264" s="9">
        <v>60.77</v>
      </c>
      <c r="E3264" s="8">
        <v>89</v>
      </c>
    </row>
    <row r="3265" s="3" customFormat="1" ht="18.75" spans="1:5">
      <c r="A3265" s="8" t="str">
        <f t="shared" si="58"/>
        <v>250018</v>
      </c>
      <c r="B3265" s="8" t="str">
        <f>"2561404013010"</f>
        <v>2561404013010</v>
      </c>
      <c r="C3265" s="8" t="s">
        <v>10</v>
      </c>
      <c r="D3265" s="9">
        <v>60.68</v>
      </c>
      <c r="E3265" s="8">
        <v>90</v>
      </c>
    </row>
    <row r="3266" s="3" customFormat="1" ht="18.75" spans="1:5">
      <c r="A3266" s="8" t="str">
        <f t="shared" si="58"/>
        <v>250018</v>
      </c>
      <c r="B3266" s="8" t="str">
        <f>"2561404011619"</f>
        <v>2561404011619</v>
      </c>
      <c r="C3266" s="8" t="s">
        <v>10</v>
      </c>
      <c r="D3266" s="9">
        <v>60.67</v>
      </c>
      <c r="E3266" s="8">
        <v>91</v>
      </c>
    </row>
    <row r="3267" s="3" customFormat="1" ht="18.75" spans="1:5">
      <c r="A3267" s="8" t="str">
        <f t="shared" si="58"/>
        <v>250018</v>
      </c>
      <c r="B3267" s="8" t="str">
        <f>"2561404010719"</f>
        <v>2561404010719</v>
      </c>
      <c r="C3267" s="8" t="s">
        <v>10</v>
      </c>
      <c r="D3267" s="9">
        <v>60.6</v>
      </c>
      <c r="E3267" s="8">
        <v>92</v>
      </c>
    </row>
    <row r="3268" s="3" customFormat="1" ht="18.75" spans="1:5">
      <c r="A3268" s="8" t="str">
        <f t="shared" si="58"/>
        <v>250018</v>
      </c>
      <c r="B3268" s="8" t="str">
        <f>"2561404010324"</f>
        <v>2561404010324</v>
      </c>
      <c r="C3268" s="8" t="s">
        <v>10</v>
      </c>
      <c r="D3268" s="9">
        <v>60.58</v>
      </c>
      <c r="E3268" s="8">
        <v>93</v>
      </c>
    </row>
    <row r="3269" s="3" customFormat="1" ht="18.75" spans="1:5">
      <c r="A3269" s="8" t="str">
        <f t="shared" si="58"/>
        <v>250018</v>
      </c>
      <c r="B3269" s="8" t="str">
        <f>"2561404012802"</f>
        <v>2561404012802</v>
      </c>
      <c r="C3269" s="8" t="s">
        <v>10</v>
      </c>
      <c r="D3269" s="9">
        <v>60.43</v>
      </c>
      <c r="E3269" s="8">
        <v>94</v>
      </c>
    </row>
    <row r="3270" s="3" customFormat="1" ht="18.75" spans="1:5">
      <c r="A3270" s="8" t="str">
        <f t="shared" si="58"/>
        <v>250018</v>
      </c>
      <c r="B3270" s="8" t="str">
        <f>"2561404010309"</f>
        <v>2561404010309</v>
      </c>
      <c r="C3270" s="8" t="s">
        <v>10</v>
      </c>
      <c r="D3270" s="9">
        <v>60.42</v>
      </c>
      <c r="E3270" s="8">
        <v>95</v>
      </c>
    </row>
    <row r="3271" s="3" customFormat="1" ht="18.75" spans="1:5">
      <c r="A3271" s="8" t="str">
        <f t="shared" si="58"/>
        <v>250018</v>
      </c>
      <c r="B3271" s="8" t="str">
        <f>"2561404011425"</f>
        <v>2561404011425</v>
      </c>
      <c r="C3271" s="8" t="s">
        <v>10</v>
      </c>
      <c r="D3271" s="9">
        <v>60.39</v>
      </c>
      <c r="E3271" s="8">
        <v>96</v>
      </c>
    </row>
    <row r="3272" s="3" customFormat="1" ht="18.75" spans="1:5">
      <c r="A3272" s="8" t="str">
        <f t="shared" si="58"/>
        <v>250018</v>
      </c>
      <c r="B3272" s="8" t="str">
        <f>"2561404012313"</f>
        <v>2561404012313</v>
      </c>
      <c r="C3272" s="8" t="s">
        <v>10</v>
      </c>
      <c r="D3272" s="9">
        <v>60.32</v>
      </c>
      <c r="E3272" s="8">
        <v>97</v>
      </c>
    </row>
    <row r="3273" s="3" customFormat="1" ht="18.75" spans="1:5">
      <c r="A3273" s="8" t="str">
        <f t="shared" si="58"/>
        <v>250018</v>
      </c>
      <c r="B3273" s="8" t="str">
        <f>"2561404012014"</f>
        <v>2561404012014</v>
      </c>
      <c r="C3273" s="8" t="s">
        <v>10</v>
      </c>
      <c r="D3273" s="9">
        <v>60.23</v>
      </c>
      <c r="E3273" s="8">
        <v>98</v>
      </c>
    </row>
    <row r="3274" s="3" customFormat="1" ht="18.75" spans="1:5">
      <c r="A3274" s="8" t="str">
        <f t="shared" si="58"/>
        <v>250018</v>
      </c>
      <c r="B3274" s="8" t="str">
        <f>"2561404010707"</f>
        <v>2561404010707</v>
      </c>
      <c r="C3274" s="8" t="s">
        <v>10</v>
      </c>
      <c r="D3274" s="9">
        <v>60.22</v>
      </c>
      <c r="E3274" s="8">
        <v>99</v>
      </c>
    </row>
    <row r="3275" s="3" customFormat="1" ht="18.75" spans="1:5">
      <c r="A3275" s="8" t="str">
        <f t="shared" si="58"/>
        <v>250018</v>
      </c>
      <c r="B3275" s="8" t="str">
        <f>"2561404012201"</f>
        <v>2561404012201</v>
      </c>
      <c r="C3275" s="8" t="s">
        <v>10</v>
      </c>
      <c r="D3275" s="9">
        <v>60.16</v>
      </c>
      <c r="E3275" s="8">
        <v>100</v>
      </c>
    </row>
    <row r="3276" s="3" customFormat="1" ht="18.75" spans="1:5">
      <c r="A3276" s="8" t="str">
        <f t="shared" si="58"/>
        <v>250018</v>
      </c>
      <c r="B3276" s="8" t="str">
        <f>"2561404012603"</f>
        <v>2561404012603</v>
      </c>
      <c r="C3276" s="8" t="s">
        <v>10</v>
      </c>
      <c r="D3276" s="9">
        <v>60.16</v>
      </c>
      <c r="E3276" s="8">
        <v>100</v>
      </c>
    </row>
    <row r="3277" s="3" customFormat="1" ht="18.75" spans="1:5">
      <c r="A3277" s="8" t="str">
        <f t="shared" si="58"/>
        <v>250018</v>
      </c>
      <c r="B3277" s="8" t="str">
        <f>"2561404010813"</f>
        <v>2561404010813</v>
      </c>
      <c r="C3277" s="8" t="s">
        <v>10</v>
      </c>
      <c r="D3277" s="9">
        <v>60.15</v>
      </c>
      <c r="E3277" s="8">
        <v>102</v>
      </c>
    </row>
    <row r="3278" s="3" customFormat="1" ht="18.75" spans="1:5">
      <c r="A3278" s="8" t="str">
        <f t="shared" si="58"/>
        <v>250018</v>
      </c>
      <c r="B3278" s="8" t="str">
        <f>"2561404012806"</f>
        <v>2561404012806</v>
      </c>
      <c r="C3278" s="8" t="s">
        <v>10</v>
      </c>
      <c r="D3278" s="9">
        <v>60.01</v>
      </c>
      <c r="E3278" s="8">
        <v>103</v>
      </c>
    </row>
    <row r="3279" s="3" customFormat="1" ht="18.75" spans="1:5">
      <c r="A3279" s="8" t="str">
        <f t="shared" si="58"/>
        <v>250018</v>
      </c>
      <c r="B3279" s="8" t="str">
        <f>"2561404011630"</f>
        <v>2561404011630</v>
      </c>
      <c r="C3279" s="8" t="s">
        <v>10</v>
      </c>
      <c r="D3279" s="9">
        <v>59.95</v>
      </c>
      <c r="E3279" s="8">
        <v>104</v>
      </c>
    </row>
    <row r="3280" s="3" customFormat="1" ht="18.75" spans="1:5">
      <c r="A3280" s="8" t="str">
        <f t="shared" si="58"/>
        <v>250018</v>
      </c>
      <c r="B3280" s="8" t="str">
        <f>"2561404012225"</f>
        <v>2561404012225</v>
      </c>
      <c r="C3280" s="8" t="s">
        <v>10</v>
      </c>
      <c r="D3280" s="9">
        <v>59.93</v>
      </c>
      <c r="E3280" s="8">
        <v>105</v>
      </c>
    </row>
    <row r="3281" s="3" customFormat="1" ht="18.75" spans="1:5">
      <c r="A3281" s="8" t="str">
        <f t="shared" si="58"/>
        <v>250018</v>
      </c>
      <c r="B3281" s="8" t="str">
        <f>"2561404011627"</f>
        <v>2561404011627</v>
      </c>
      <c r="C3281" s="8" t="s">
        <v>10</v>
      </c>
      <c r="D3281" s="9">
        <v>59.92</v>
      </c>
      <c r="E3281" s="8">
        <v>106</v>
      </c>
    </row>
    <row r="3282" s="3" customFormat="1" ht="18.75" spans="1:5">
      <c r="A3282" s="8" t="str">
        <f t="shared" si="58"/>
        <v>250018</v>
      </c>
      <c r="B3282" s="8" t="str">
        <f>"2561404012626"</f>
        <v>2561404012626</v>
      </c>
      <c r="C3282" s="8" t="s">
        <v>10</v>
      </c>
      <c r="D3282" s="9">
        <v>59.89</v>
      </c>
      <c r="E3282" s="8">
        <v>107</v>
      </c>
    </row>
    <row r="3283" s="3" customFormat="1" ht="18.75" spans="1:5">
      <c r="A3283" s="8" t="str">
        <f t="shared" si="58"/>
        <v>250018</v>
      </c>
      <c r="B3283" s="8" t="str">
        <f>"2561404011109"</f>
        <v>2561404011109</v>
      </c>
      <c r="C3283" s="8" t="s">
        <v>10</v>
      </c>
      <c r="D3283" s="9">
        <v>59.75</v>
      </c>
      <c r="E3283" s="8">
        <v>108</v>
      </c>
    </row>
    <row r="3284" s="3" customFormat="1" ht="18.75" spans="1:5">
      <c r="A3284" s="8" t="str">
        <f t="shared" si="58"/>
        <v>250018</v>
      </c>
      <c r="B3284" s="8" t="str">
        <f>"2561404012615"</f>
        <v>2561404012615</v>
      </c>
      <c r="C3284" s="8" t="s">
        <v>10</v>
      </c>
      <c r="D3284" s="9">
        <v>59.7</v>
      </c>
      <c r="E3284" s="8">
        <v>109</v>
      </c>
    </row>
    <row r="3285" s="3" customFormat="1" ht="18.75" spans="1:5">
      <c r="A3285" s="8" t="str">
        <f t="shared" si="58"/>
        <v>250018</v>
      </c>
      <c r="B3285" s="8" t="str">
        <f>"2561404010806"</f>
        <v>2561404010806</v>
      </c>
      <c r="C3285" s="8" t="s">
        <v>10</v>
      </c>
      <c r="D3285" s="9">
        <v>59.65</v>
      </c>
      <c r="E3285" s="8">
        <v>110</v>
      </c>
    </row>
    <row r="3286" s="3" customFormat="1" ht="18.75" spans="1:5">
      <c r="A3286" s="8" t="str">
        <f t="shared" si="58"/>
        <v>250018</v>
      </c>
      <c r="B3286" s="8" t="str">
        <f>"2561404010724"</f>
        <v>2561404010724</v>
      </c>
      <c r="C3286" s="8" t="s">
        <v>10</v>
      </c>
      <c r="D3286" s="9">
        <v>59.56</v>
      </c>
      <c r="E3286" s="8">
        <v>111</v>
      </c>
    </row>
    <row r="3287" s="3" customFormat="1" ht="18.75" spans="1:5">
      <c r="A3287" s="8" t="str">
        <f t="shared" si="58"/>
        <v>250018</v>
      </c>
      <c r="B3287" s="8" t="str">
        <f>"2561404011230"</f>
        <v>2561404011230</v>
      </c>
      <c r="C3287" s="8" t="s">
        <v>10</v>
      </c>
      <c r="D3287" s="9">
        <v>59.52</v>
      </c>
      <c r="E3287" s="8">
        <v>112</v>
      </c>
    </row>
    <row r="3288" s="3" customFormat="1" ht="18.75" spans="1:5">
      <c r="A3288" s="8" t="str">
        <f t="shared" si="58"/>
        <v>250018</v>
      </c>
      <c r="B3288" s="8" t="str">
        <f>"2561404010310"</f>
        <v>2561404010310</v>
      </c>
      <c r="C3288" s="8" t="s">
        <v>10</v>
      </c>
      <c r="D3288" s="9">
        <v>59.46</v>
      </c>
      <c r="E3288" s="8">
        <v>113</v>
      </c>
    </row>
    <row r="3289" s="3" customFormat="1" ht="18.75" spans="1:5">
      <c r="A3289" s="8" t="str">
        <f t="shared" si="58"/>
        <v>250018</v>
      </c>
      <c r="B3289" s="8" t="str">
        <f>"2561404010626"</f>
        <v>2561404010626</v>
      </c>
      <c r="C3289" s="8" t="s">
        <v>10</v>
      </c>
      <c r="D3289" s="9">
        <v>59.45</v>
      </c>
      <c r="E3289" s="8">
        <v>114</v>
      </c>
    </row>
    <row r="3290" s="3" customFormat="1" ht="18.75" spans="1:5">
      <c r="A3290" s="8" t="str">
        <f t="shared" si="58"/>
        <v>250018</v>
      </c>
      <c r="B3290" s="8" t="str">
        <f>"2561404011004"</f>
        <v>2561404011004</v>
      </c>
      <c r="C3290" s="8" t="s">
        <v>10</v>
      </c>
      <c r="D3290" s="9">
        <v>59.42</v>
      </c>
      <c r="E3290" s="8">
        <v>115</v>
      </c>
    </row>
    <row r="3291" s="3" customFormat="1" ht="18.75" spans="1:5">
      <c r="A3291" s="8" t="str">
        <f t="shared" si="58"/>
        <v>250018</v>
      </c>
      <c r="B3291" s="8" t="str">
        <f>"2561404011808"</f>
        <v>2561404011808</v>
      </c>
      <c r="C3291" s="8" t="s">
        <v>10</v>
      </c>
      <c r="D3291" s="9">
        <v>59.38</v>
      </c>
      <c r="E3291" s="8">
        <v>116</v>
      </c>
    </row>
    <row r="3292" s="3" customFormat="1" ht="18.75" spans="1:5">
      <c r="A3292" s="8" t="str">
        <f t="shared" si="58"/>
        <v>250018</v>
      </c>
      <c r="B3292" s="8" t="str">
        <f>"2561404012624"</f>
        <v>2561404012624</v>
      </c>
      <c r="C3292" s="8" t="s">
        <v>10</v>
      </c>
      <c r="D3292" s="9">
        <v>59.36</v>
      </c>
      <c r="E3292" s="8">
        <v>117</v>
      </c>
    </row>
    <row r="3293" s="3" customFormat="1" ht="18.75" spans="1:5">
      <c r="A3293" s="8" t="str">
        <f t="shared" si="58"/>
        <v>250018</v>
      </c>
      <c r="B3293" s="8" t="str">
        <f>"2561404013101"</f>
        <v>2561404013101</v>
      </c>
      <c r="C3293" s="8" t="s">
        <v>10</v>
      </c>
      <c r="D3293" s="9">
        <v>59.35</v>
      </c>
      <c r="E3293" s="8">
        <v>118</v>
      </c>
    </row>
    <row r="3294" s="3" customFormat="1" ht="18.75" spans="1:5">
      <c r="A3294" s="8" t="str">
        <f t="shared" si="58"/>
        <v>250018</v>
      </c>
      <c r="B3294" s="8" t="str">
        <f>"2561404011104"</f>
        <v>2561404011104</v>
      </c>
      <c r="C3294" s="8" t="s">
        <v>10</v>
      </c>
      <c r="D3294" s="9">
        <v>59.32</v>
      </c>
      <c r="E3294" s="8">
        <v>119</v>
      </c>
    </row>
    <row r="3295" s="3" customFormat="1" ht="18.75" spans="1:5">
      <c r="A3295" s="8" t="str">
        <f t="shared" si="58"/>
        <v>250018</v>
      </c>
      <c r="B3295" s="8" t="str">
        <f>"2561404012509"</f>
        <v>2561404012509</v>
      </c>
      <c r="C3295" s="8" t="s">
        <v>10</v>
      </c>
      <c r="D3295" s="9">
        <v>59.25</v>
      </c>
      <c r="E3295" s="8">
        <v>120</v>
      </c>
    </row>
    <row r="3296" s="3" customFormat="1" ht="18.75" spans="1:5">
      <c r="A3296" s="8" t="str">
        <f t="shared" si="58"/>
        <v>250018</v>
      </c>
      <c r="B3296" s="8" t="str">
        <f>"2561404010616"</f>
        <v>2561404010616</v>
      </c>
      <c r="C3296" s="8" t="s">
        <v>10</v>
      </c>
      <c r="D3296" s="9">
        <v>59.19</v>
      </c>
      <c r="E3296" s="8">
        <v>121</v>
      </c>
    </row>
    <row r="3297" s="3" customFormat="1" ht="18.75" spans="1:5">
      <c r="A3297" s="8" t="str">
        <f t="shared" si="58"/>
        <v>250018</v>
      </c>
      <c r="B3297" s="8" t="str">
        <f>"2561404010409"</f>
        <v>2561404010409</v>
      </c>
      <c r="C3297" s="8" t="s">
        <v>10</v>
      </c>
      <c r="D3297" s="9">
        <v>59.15</v>
      </c>
      <c r="E3297" s="8">
        <v>122</v>
      </c>
    </row>
    <row r="3298" s="3" customFormat="1" ht="18.75" spans="1:5">
      <c r="A3298" s="8" t="str">
        <f t="shared" si="58"/>
        <v>250018</v>
      </c>
      <c r="B3298" s="8" t="str">
        <f>"2561404011519"</f>
        <v>2561404011519</v>
      </c>
      <c r="C3298" s="8" t="s">
        <v>10</v>
      </c>
      <c r="D3298" s="9">
        <v>59.09</v>
      </c>
      <c r="E3298" s="8">
        <v>123</v>
      </c>
    </row>
    <row r="3299" s="3" customFormat="1" ht="18.75" spans="1:5">
      <c r="A3299" s="8" t="str">
        <f t="shared" si="58"/>
        <v>250018</v>
      </c>
      <c r="B3299" s="8" t="str">
        <f>"2561404010716"</f>
        <v>2561404010716</v>
      </c>
      <c r="C3299" s="8" t="s">
        <v>10</v>
      </c>
      <c r="D3299" s="9">
        <v>59.06</v>
      </c>
      <c r="E3299" s="8">
        <v>124</v>
      </c>
    </row>
    <row r="3300" s="3" customFormat="1" ht="18.75" spans="1:5">
      <c r="A3300" s="8" t="str">
        <f t="shared" si="58"/>
        <v>250018</v>
      </c>
      <c r="B3300" s="8" t="str">
        <f>"2561404011416"</f>
        <v>2561404011416</v>
      </c>
      <c r="C3300" s="8" t="s">
        <v>10</v>
      </c>
      <c r="D3300" s="9">
        <v>59</v>
      </c>
      <c r="E3300" s="8">
        <v>125</v>
      </c>
    </row>
    <row r="3301" s="3" customFormat="1" ht="18.75" spans="1:5">
      <c r="A3301" s="8" t="str">
        <f t="shared" si="58"/>
        <v>250018</v>
      </c>
      <c r="B3301" s="8" t="str">
        <f>"2561404010912"</f>
        <v>2561404010912</v>
      </c>
      <c r="C3301" s="8" t="s">
        <v>10</v>
      </c>
      <c r="D3301" s="9">
        <v>58.98</v>
      </c>
      <c r="E3301" s="8">
        <v>126</v>
      </c>
    </row>
    <row r="3302" s="3" customFormat="1" ht="18.75" spans="1:5">
      <c r="A3302" s="8" t="str">
        <f t="shared" si="58"/>
        <v>250018</v>
      </c>
      <c r="B3302" s="8" t="str">
        <f>"2561404010206"</f>
        <v>2561404010206</v>
      </c>
      <c r="C3302" s="8" t="s">
        <v>10</v>
      </c>
      <c r="D3302" s="9">
        <v>58.95</v>
      </c>
      <c r="E3302" s="8">
        <v>127</v>
      </c>
    </row>
    <row r="3303" s="3" customFormat="1" ht="18.75" spans="1:5">
      <c r="A3303" s="8" t="str">
        <f t="shared" si="58"/>
        <v>250018</v>
      </c>
      <c r="B3303" s="8" t="str">
        <f>"2561404011921"</f>
        <v>2561404011921</v>
      </c>
      <c r="C3303" s="8" t="s">
        <v>10</v>
      </c>
      <c r="D3303" s="9">
        <v>58.93</v>
      </c>
      <c r="E3303" s="8">
        <v>128</v>
      </c>
    </row>
    <row r="3304" s="3" customFormat="1" ht="18.75" spans="1:5">
      <c r="A3304" s="8" t="str">
        <f t="shared" ref="A3304:A3367" si="59">"250018"</f>
        <v>250018</v>
      </c>
      <c r="B3304" s="8" t="str">
        <f>"2561404013014"</f>
        <v>2561404013014</v>
      </c>
      <c r="C3304" s="8" t="s">
        <v>10</v>
      </c>
      <c r="D3304" s="9">
        <v>58.93</v>
      </c>
      <c r="E3304" s="8">
        <v>128</v>
      </c>
    </row>
    <row r="3305" s="3" customFormat="1" ht="18.75" spans="1:5">
      <c r="A3305" s="8" t="str">
        <f t="shared" si="59"/>
        <v>250018</v>
      </c>
      <c r="B3305" s="8" t="str">
        <f>"2561404010318"</f>
        <v>2561404010318</v>
      </c>
      <c r="C3305" s="8" t="s">
        <v>10</v>
      </c>
      <c r="D3305" s="9">
        <v>58.92</v>
      </c>
      <c r="E3305" s="8">
        <v>130</v>
      </c>
    </row>
    <row r="3306" s="3" customFormat="1" ht="18.75" spans="1:5">
      <c r="A3306" s="8" t="str">
        <f t="shared" si="59"/>
        <v>250018</v>
      </c>
      <c r="B3306" s="8" t="str">
        <f>"2561404010904"</f>
        <v>2561404010904</v>
      </c>
      <c r="C3306" s="8" t="s">
        <v>10</v>
      </c>
      <c r="D3306" s="9">
        <v>58.87</v>
      </c>
      <c r="E3306" s="8">
        <v>131</v>
      </c>
    </row>
    <row r="3307" s="3" customFormat="1" ht="18.75" spans="1:5">
      <c r="A3307" s="8" t="str">
        <f t="shared" si="59"/>
        <v>250018</v>
      </c>
      <c r="B3307" s="8" t="str">
        <f>"2561404010505"</f>
        <v>2561404010505</v>
      </c>
      <c r="C3307" s="8" t="s">
        <v>10</v>
      </c>
      <c r="D3307" s="9">
        <v>58.86</v>
      </c>
      <c r="E3307" s="8">
        <v>132</v>
      </c>
    </row>
    <row r="3308" s="3" customFormat="1" ht="18.75" spans="1:5">
      <c r="A3308" s="8" t="str">
        <f t="shared" si="59"/>
        <v>250018</v>
      </c>
      <c r="B3308" s="8" t="str">
        <f>"2561404011603"</f>
        <v>2561404011603</v>
      </c>
      <c r="C3308" s="8" t="s">
        <v>10</v>
      </c>
      <c r="D3308" s="9">
        <v>58.73</v>
      </c>
      <c r="E3308" s="8">
        <v>133</v>
      </c>
    </row>
    <row r="3309" s="3" customFormat="1" ht="18.75" spans="1:5">
      <c r="A3309" s="8" t="str">
        <f t="shared" si="59"/>
        <v>250018</v>
      </c>
      <c r="B3309" s="8" t="str">
        <f>"2561404011112"</f>
        <v>2561404011112</v>
      </c>
      <c r="C3309" s="8" t="s">
        <v>10</v>
      </c>
      <c r="D3309" s="9">
        <v>58.66</v>
      </c>
      <c r="E3309" s="8">
        <v>134</v>
      </c>
    </row>
    <row r="3310" s="3" customFormat="1" ht="18.75" spans="1:5">
      <c r="A3310" s="8" t="str">
        <f t="shared" si="59"/>
        <v>250018</v>
      </c>
      <c r="B3310" s="8" t="str">
        <f>"2561404010312"</f>
        <v>2561404010312</v>
      </c>
      <c r="C3310" s="8" t="s">
        <v>10</v>
      </c>
      <c r="D3310" s="9">
        <v>58.65</v>
      </c>
      <c r="E3310" s="8">
        <v>135</v>
      </c>
    </row>
    <row r="3311" s="3" customFormat="1" ht="18.75" spans="1:5">
      <c r="A3311" s="8" t="str">
        <f t="shared" si="59"/>
        <v>250018</v>
      </c>
      <c r="B3311" s="8" t="str">
        <f>"2561404010209"</f>
        <v>2561404010209</v>
      </c>
      <c r="C3311" s="8" t="s">
        <v>10</v>
      </c>
      <c r="D3311" s="9">
        <v>58.56</v>
      </c>
      <c r="E3311" s="8">
        <v>136</v>
      </c>
    </row>
    <row r="3312" s="3" customFormat="1" ht="18.75" spans="1:5">
      <c r="A3312" s="8" t="str">
        <f t="shared" si="59"/>
        <v>250018</v>
      </c>
      <c r="B3312" s="8" t="str">
        <f>"2561404010621"</f>
        <v>2561404010621</v>
      </c>
      <c r="C3312" s="8" t="s">
        <v>10</v>
      </c>
      <c r="D3312" s="9">
        <v>58.42</v>
      </c>
      <c r="E3312" s="8">
        <v>137</v>
      </c>
    </row>
    <row r="3313" s="3" customFormat="1" ht="18.75" spans="1:5">
      <c r="A3313" s="8" t="str">
        <f t="shared" si="59"/>
        <v>250018</v>
      </c>
      <c r="B3313" s="8" t="str">
        <f>"2561404011006"</f>
        <v>2561404011006</v>
      </c>
      <c r="C3313" s="8" t="s">
        <v>10</v>
      </c>
      <c r="D3313" s="9">
        <v>58.42</v>
      </c>
      <c r="E3313" s="8">
        <v>137</v>
      </c>
    </row>
    <row r="3314" s="3" customFormat="1" ht="18.75" spans="1:5">
      <c r="A3314" s="8" t="str">
        <f t="shared" si="59"/>
        <v>250018</v>
      </c>
      <c r="B3314" s="8" t="str">
        <f>"2561404011708"</f>
        <v>2561404011708</v>
      </c>
      <c r="C3314" s="8" t="s">
        <v>10</v>
      </c>
      <c r="D3314" s="9">
        <v>58.33</v>
      </c>
      <c r="E3314" s="8">
        <v>139</v>
      </c>
    </row>
    <row r="3315" s="3" customFormat="1" ht="18.75" spans="1:5">
      <c r="A3315" s="8" t="str">
        <f t="shared" si="59"/>
        <v>250018</v>
      </c>
      <c r="B3315" s="8" t="str">
        <f>"2561404010230"</f>
        <v>2561404010230</v>
      </c>
      <c r="C3315" s="8" t="s">
        <v>10</v>
      </c>
      <c r="D3315" s="9">
        <v>58.28</v>
      </c>
      <c r="E3315" s="8">
        <v>140</v>
      </c>
    </row>
    <row r="3316" s="3" customFormat="1" ht="18.75" spans="1:5">
      <c r="A3316" s="8" t="str">
        <f t="shared" si="59"/>
        <v>250018</v>
      </c>
      <c r="B3316" s="8" t="str">
        <f>"2561404011430"</f>
        <v>2561404011430</v>
      </c>
      <c r="C3316" s="8" t="s">
        <v>10</v>
      </c>
      <c r="D3316" s="9">
        <v>58.23</v>
      </c>
      <c r="E3316" s="8">
        <v>141</v>
      </c>
    </row>
    <row r="3317" s="3" customFormat="1" ht="18.75" spans="1:5">
      <c r="A3317" s="8" t="str">
        <f t="shared" si="59"/>
        <v>250018</v>
      </c>
      <c r="B3317" s="8" t="str">
        <f>"2561404011019"</f>
        <v>2561404011019</v>
      </c>
      <c r="C3317" s="8" t="s">
        <v>10</v>
      </c>
      <c r="D3317" s="9">
        <v>58.22</v>
      </c>
      <c r="E3317" s="8">
        <v>142</v>
      </c>
    </row>
    <row r="3318" s="3" customFormat="1" ht="18.75" spans="1:5">
      <c r="A3318" s="8" t="str">
        <f t="shared" si="59"/>
        <v>250018</v>
      </c>
      <c r="B3318" s="8" t="str">
        <f>"2561404011119"</f>
        <v>2561404011119</v>
      </c>
      <c r="C3318" s="8" t="s">
        <v>10</v>
      </c>
      <c r="D3318" s="9">
        <v>58.2</v>
      </c>
      <c r="E3318" s="8">
        <v>143</v>
      </c>
    </row>
    <row r="3319" s="3" customFormat="1" ht="18.75" spans="1:5">
      <c r="A3319" s="8" t="str">
        <f t="shared" si="59"/>
        <v>250018</v>
      </c>
      <c r="B3319" s="8" t="str">
        <f>"2561404012726"</f>
        <v>2561404012726</v>
      </c>
      <c r="C3319" s="8" t="s">
        <v>10</v>
      </c>
      <c r="D3319" s="9">
        <v>58.18</v>
      </c>
      <c r="E3319" s="8">
        <v>144</v>
      </c>
    </row>
    <row r="3320" s="3" customFormat="1" ht="18.75" spans="1:5">
      <c r="A3320" s="8" t="str">
        <f t="shared" si="59"/>
        <v>250018</v>
      </c>
      <c r="B3320" s="8" t="str">
        <f>"2561404010509"</f>
        <v>2561404010509</v>
      </c>
      <c r="C3320" s="8" t="s">
        <v>10</v>
      </c>
      <c r="D3320" s="9">
        <v>57.99</v>
      </c>
      <c r="E3320" s="8">
        <v>145</v>
      </c>
    </row>
    <row r="3321" s="3" customFormat="1" ht="18.75" spans="1:5">
      <c r="A3321" s="8" t="str">
        <f t="shared" si="59"/>
        <v>250018</v>
      </c>
      <c r="B3321" s="8" t="str">
        <f>"2561404011423"</f>
        <v>2561404011423</v>
      </c>
      <c r="C3321" s="8" t="s">
        <v>10</v>
      </c>
      <c r="D3321" s="9">
        <v>57.97</v>
      </c>
      <c r="E3321" s="8">
        <v>146</v>
      </c>
    </row>
    <row r="3322" s="3" customFormat="1" ht="18.75" spans="1:5">
      <c r="A3322" s="8" t="str">
        <f t="shared" si="59"/>
        <v>250018</v>
      </c>
      <c r="B3322" s="8" t="str">
        <f>"2561404012414"</f>
        <v>2561404012414</v>
      </c>
      <c r="C3322" s="8" t="s">
        <v>10</v>
      </c>
      <c r="D3322" s="9">
        <v>57.97</v>
      </c>
      <c r="E3322" s="8">
        <v>146</v>
      </c>
    </row>
    <row r="3323" s="3" customFormat="1" ht="18.75" spans="1:5">
      <c r="A3323" s="8" t="str">
        <f t="shared" si="59"/>
        <v>250018</v>
      </c>
      <c r="B3323" s="8" t="str">
        <f>"2561404011602"</f>
        <v>2561404011602</v>
      </c>
      <c r="C3323" s="8" t="s">
        <v>10</v>
      </c>
      <c r="D3323" s="9">
        <v>57.94</v>
      </c>
      <c r="E3323" s="8">
        <v>148</v>
      </c>
    </row>
    <row r="3324" s="3" customFormat="1" ht="18.75" spans="1:5">
      <c r="A3324" s="8" t="str">
        <f t="shared" si="59"/>
        <v>250018</v>
      </c>
      <c r="B3324" s="8" t="str">
        <f>"2561404012610"</f>
        <v>2561404012610</v>
      </c>
      <c r="C3324" s="8" t="s">
        <v>10</v>
      </c>
      <c r="D3324" s="9">
        <v>57.92</v>
      </c>
      <c r="E3324" s="8">
        <v>149</v>
      </c>
    </row>
    <row r="3325" s="3" customFormat="1" ht="18.75" spans="1:5">
      <c r="A3325" s="8" t="str">
        <f t="shared" si="59"/>
        <v>250018</v>
      </c>
      <c r="B3325" s="8" t="str">
        <f>"2561404012405"</f>
        <v>2561404012405</v>
      </c>
      <c r="C3325" s="8" t="s">
        <v>10</v>
      </c>
      <c r="D3325" s="9">
        <v>57.86</v>
      </c>
      <c r="E3325" s="8">
        <v>150</v>
      </c>
    </row>
    <row r="3326" s="3" customFormat="1" ht="18.75" spans="1:5">
      <c r="A3326" s="8" t="str">
        <f t="shared" si="59"/>
        <v>250018</v>
      </c>
      <c r="B3326" s="8" t="str">
        <f>"2561404011927"</f>
        <v>2561404011927</v>
      </c>
      <c r="C3326" s="8" t="s">
        <v>10</v>
      </c>
      <c r="D3326" s="9">
        <v>57.82</v>
      </c>
      <c r="E3326" s="8">
        <v>151</v>
      </c>
    </row>
    <row r="3327" s="3" customFormat="1" ht="18.75" spans="1:5">
      <c r="A3327" s="8" t="str">
        <f t="shared" si="59"/>
        <v>250018</v>
      </c>
      <c r="B3327" s="8" t="str">
        <f>"2561404012025"</f>
        <v>2561404012025</v>
      </c>
      <c r="C3327" s="8" t="s">
        <v>10</v>
      </c>
      <c r="D3327" s="9">
        <v>57.77</v>
      </c>
      <c r="E3327" s="8">
        <v>152</v>
      </c>
    </row>
    <row r="3328" s="3" customFormat="1" ht="18.75" spans="1:5">
      <c r="A3328" s="8" t="str">
        <f t="shared" si="59"/>
        <v>250018</v>
      </c>
      <c r="B3328" s="8" t="str">
        <f>"2561404010617"</f>
        <v>2561404010617</v>
      </c>
      <c r="C3328" s="8" t="s">
        <v>10</v>
      </c>
      <c r="D3328" s="9">
        <v>57.76</v>
      </c>
      <c r="E3328" s="8">
        <v>153</v>
      </c>
    </row>
    <row r="3329" s="3" customFormat="1" ht="18.75" spans="1:5">
      <c r="A3329" s="8" t="str">
        <f t="shared" si="59"/>
        <v>250018</v>
      </c>
      <c r="B3329" s="8" t="str">
        <f>"2561404012612"</f>
        <v>2561404012612</v>
      </c>
      <c r="C3329" s="8" t="s">
        <v>10</v>
      </c>
      <c r="D3329" s="9">
        <v>57.75</v>
      </c>
      <c r="E3329" s="8">
        <v>154</v>
      </c>
    </row>
    <row r="3330" s="3" customFormat="1" ht="18.75" spans="1:5">
      <c r="A3330" s="8" t="str">
        <f t="shared" si="59"/>
        <v>250018</v>
      </c>
      <c r="B3330" s="8" t="str">
        <f>"2561404011502"</f>
        <v>2561404011502</v>
      </c>
      <c r="C3330" s="8" t="s">
        <v>10</v>
      </c>
      <c r="D3330" s="9">
        <v>57.74</v>
      </c>
      <c r="E3330" s="8">
        <v>155</v>
      </c>
    </row>
    <row r="3331" s="3" customFormat="1" ht="18.75" spans="1:5">
      <c r="A3331" s="8" t="str">
        <f t="shared" si="59"/>
        <v>250018</v>
      </c>
      <c r="B3331" s="8" t="str">
        <f>"2561404010613"</f>
        <v>2561404010613</v>
      </c>
      <c r="C3331" s="8" t="s">
        <v>10</v>
      </c>
      <c r="D3331" s="9">
        <v>57.7</v>
      </c>
      <c r="E3331" s="8">
        <v>156</v>
      </c>
    </row>
    <row r="3332" s="3" customFormat="1" ht="18.75" spans="1:5">
      <c r="A3332" s="8" t="str">
        <f t="shared" si="59"/>
        <v>250018</v>
      </c>
      <c r="B3332" s="8" t="str">
        <f>"2561404010815"</f>
        <v>2561404010815</v>
      </c>
      <c r="C3332" s="8" t="s">
        <v>10</v>
      </c>
      <c r="D3332" s="9">
        <v>57.57</v>
      </c>
      <c r="E3332" s="8">
        <v>157</v>
      </c>
    </row>
    <row r="3333" s="3" customFormat="1" ht="18.75" spans="1:5">
      <c r="A3333" s="8" t="str">
        <f t="shared" si="59"/>
        <v>250018</v>
      </c>
      <c r="B3333" s="8" t="str">
        <f>"2561404012422"</f>
        <v>2561404012422</v>
      </c>
      <c r="C3333" s="8" t="s">
        <v>10</v>
      </c>
      <c r="D3333" s="9">
        <v>57.54</v>
      </c>
      <c r="E3333" s="8">
        <v>158</v>
      </c>
    </row>
    <row r="3334" s="3" customFormat="1" ht="18.75" spans="1:5">
      <c r="A3334" s="8" t="str">
        <f t="shared" si="59"/>
        <v>250018</v>
      </c>
      <c r="B3334" s="8" t="str">
        <f>"2561404011511"</f>
        <v>2561404011511</v>
      </c>
      <c r="C3334" s="8" t="s">
        <v>10</v>
      </c>
      <c r="D3334" s="9">
        <v>57.53</v>
      </c>
      <c r="E3334" s="8">
        <v>159</v>
      </c>
    </row>
    <row r="3335" s="3" customFormat="1" ht="18.75" spans="1:5">
      <c r="A3335" s="8" t="str">
        <f t="shared" si="59"/>
        <v>250018</v>
      </c>
      <c r="B3335" s="8" t="str">
        <f>"2561404012609"</f>
        <v>2561404012609</v>
      </c>
      <c r="C3335" s="8" t="s">
        <v>10</v>
      </c>
      <c r="D3335" s="9">
        <v>57.53</v>
      </c>
      <c r="E3335" s="8">
        <v>159</v>
      </c>
    </row>
    <row r="3336" s="3" customFormat="1" ht="18.75" spans="1:5">
      <c r="A3336" s="8" t="str">
        <f t="shared" si="59"/>
        <v>250018</v>
      </c>
      <c r="B3336" s="8" t="str">
        <f>"2561404011606"</f>
        <v>2561404011606</v>
      </c>
      <c r="C3336" s="8" t="s">
        <v>10</v>
      </c>
      <c r="D3336" s="9">
        <v>57.52</v>
      </c>
      <c r="E3336" s="8">
        <v>161</v>
      </c>
    </row>
    <row r="3337" s="3" customFormat="1" ht="18.75" spans="1:5">
      <c r="A3337" s="8" t="str">
        <f t="shared" si="59"/>
        <v>250018</v>
      </c>
      <c r="B3337" s="8" t="str">
        <f>"2561404011926"</f>
        <v>2561404011926</v>
      </c>
      <c r="C3337" s="8" t="s">
        <v>10</v>
      </c>
      <c r="D3337" s="9">
        <v>57.42</v>
      </c>
      <c r="E3337" s="8">
        <v>162</v>
      </c>
    </row>
    <row r="3338" s="3" customFormat="1" ht="18.75" spans="1:5">
      <c r="A3338" s="8" t="str">
        <f t="shared" si="59"/>
        <v>250018</v>
      </c>
      <c r="B3338" s="8" t="str">
        <f>"2561404011615"</f>
        <v>2561404011615</v>
      </c>
      <c r="C3338" s="8" t="s">
        <v>10</v>
      </c>
      <c r="D3338" s="9">
        <v>57.38</v>
      </c>
      <c r="E3338" s="8">
        <v>163</v>
      </c>
    </row>
    <row r="3339" s="3" customFormat="1" ht="18.75" spans="1:5">
      <c r="A3339" s="8" t="str">
        <f t="shared" si="59"/>
        <v>250018</v>
      </c>
      <c r="B3339" s="8" t="str">
        <f>"2561404010330"</f>
        <v>2561404010330</v>
      </c>
      <c r="C3339" s="8" t="s">
        <v>10</v>
      </c>
      <c r="D3339" s="9">
        <v>57.33</v>
      </c>
      <c r="E3339" s="8">
        <v>164</v>
      </c>
    </row>
    <row r="3340" s="3" customFormat="1" ht="18.75" spans="1:5">
      <c r="A3340" s="8" t="str">
        <f t="shared" si="59"/>
        <v>250018</v>
      </c>
      <c r="B3340" s="8" t="str">
        <f>"2561404010128"</f>
        <v>2561404010128</v>
      </c>
      <c r="C3340" s="8" t="s">
        <v>10</v>
      </c>
      <c r="D3340" s="9">
        <v>57.31</v>
      </c>
      <c r="E3340" s="8">
        <v>165</v>
      </c>
    </row>
    <row r="3341" s="3" customFormat="1" ht="18.75" spans="1:5">
      <c r="A3341" s="8" t="str">
        <f t="shared" si="59"/>
        <v>250018</v>
      </c>
      <c r="B3341" s="8" t="str">
        <f>"2561404010214"</f>
        <v>2561404010214</v>
      </c>
      <c r="C3341" s="8" t="s">
        <v>10</v>
      </c>
      <c r="D3341" s="9">
        <v>57.3</v>
      </c>
      <c r="E3341" s="8">
        <v>166</v>
      </c>
    </row>
    <row r="3342" s="3" customFormat="1" ht="18.75" spans="1:5">
      <c r="A3342" s="8" t="str">
        <f t="shared" si="59"/>
        <v>250018</v>
      </c>
      <c r="B3342" s="8" t="str">
        <f>"2561404012928"</f>
        <v>2561404012928</v>
      </c>
      <c r="C3342" s="8" t="s">
        <v>10</v>
      </c>
      <c r="D3342" s="9">
        <v>57.26</v>
      </c>
      <c r="E3342" s="8">
        <v>167</v>
      </c>
    </row>
    <row r="3343" s="3" customFormat="1" ht="18.75" spans="1:5">
      <c r="A3343" s="8" t="str">
        <f t="shared" si="59"/>
        <v>250018</v>
      </c>
      <c r="B3343" s="8" t="str">
        <f>"2561404012008"</f>
        <v>2561404012008</v>
      </c>
      <c r="C3343" s="8" t="s">
        <v>10</v>
      </c>
      <c r="D3343" s="9">
        <v>57.17</v>
      </c>
      <c r="E3343" s="8">
        <v>168</v>
      </c>
    </row>
    <row r="3344" s="3" customFormat="1" ht="18.75" spans="1:5">
      <c r="A3344" s="8" t="str">
        <f t="shared" si="59"/>
        <v>250018</v>
      </c>
      <c r="B3344" s="8" t="str">
        <f>"2561404011419"</f>
        <v>2561404011419</v>
      </c>
      <c r="C3344" s="8" t="s">
        <v>10</v>
      </c>
      <c r="D3344" s="9">
        <v>57.08</v>
      </c>
      <c r="E3344" s="8">
        <v>169</v>
      </c>
    </row>
    <row r="3345" s="3" customFormat="1" ht="18.75" spans="1:5">
      <c r="A3345" s="8" t="str">
        <f t="shared" si="59"/>
        <v>250018</v>
      </c>
      <c r="B3345" s="8" t="str">
        <f>"2561404011718"</f>
        <v>2561404011718</v>
      </c>
      <c r="C3345" s="8" t="s">
        <v>10</v>
      </c>
      <c r="D3345" s="9">
        <v>57.04</v>
      </c>
      <c r="E3345" s="8">
        <v>170</v>
      </c>
    </row>
    <row r="3346" s="3" customFormat="1" ht="18.75" spans="1:5">
      <c r="A3346" s="8" t="str">
        <f t="shared" si="59"/>
        <v>250018</v>
      </c>
      <c r="B3346" s="8" t="str">
        <f>"2561404010908"</f>
        <v>2561404010908</v>
      </c>
      <c r="C3346" s="8" t="s">
        <v>10</v>
      </c>
      <c r="D3346" s="9">
        <v>57</v>
      </c>
      <c r="E3346" s="8">
        <v>171</v>
      </c>
    </row>
    <row r="3347" s="3" customFormat="1" ht="18.75" spans="1:5">
      <c r="A3347" s="8" t="str">
        <f t="shared" si="59"/>
        <v>250018</v>
      </c>
      <c r="B3347" s="8" t="str">
        <f>"2561404010515"</f>
        <v>2561404010515</v>
      </c>
      <c r="C3347" s="8" t="s">
        <v>10</v>
      </c>
      <c r="D3347" s="9">
        <v>56.95</v>
      </c>
      <c r="E3347" s="8">
        <v>172</v>
      </c>
    </row>
    <row r="3348" s="3" customFormat="1" ht="18.75" spans="1:5">
      <c r="A3348" s="8" t="str">
        <f t="shared" si="59"/>
        <v>250018</v>
      </c>
      <c r="B3348" s="8" t="str">
        <f>"2561404010919"</f>
        <v>2561404010919</v>
      </c>
      <c r="C3348" s="8" t="s">
        <v>10</v>
      </c>
      <c r="D3348" s="9">
        <v>56.92</v>
      </c>
      <c r="E3348" s="8">
        <v>173</v>
      </c>
    </row>
    <row r="3349" s="3" customFormat="1" ht="18.75" spans="1:5">
      <c r="A3349" s="8" t="str">
        <f t="shared" si="59"/>
        <v>250018</v>
      </c>
      <c r="B3349" s="8" t="str">
        <f>"2561404011911"</f>
        <v>2561404011911</v>
      </c>
      <c r="C3349" s="8" t="s">
        <v>10</v>
      </c>
      <c r="D3349" s="9">
        <v>56.92</v>
      </c>
      <c r="E3349" s="8">
        <v>173</v>
      </c>
    </row>
    <row r="3350" s="3" customFormat="1" ht="18.75" spans="1:5">
      <c r="A3350" s="8" t="str">
        <f t="shared" si="59"/>
        <v>250018</v>
      </c>
      <c r="B3350" s="8" t="str">
        <f>"2561404011011"</f>
        <v>2561404011011</v>
      </c>
      <c r="C3350" s="8" t="s">
        <v>10</v>
      </c>
      <c r="D3350" s="9">
        <v>56.63</v>
      </c>
      <c r="E3350" s="8">
        <v>175</v>
      </c>
    </row>
    <row r="3351" s="3" customFormat="1" ht="18.75" spans="1:5">
      <c r="A3351" s="8" t="str">
        <f t="shared" si="59"/>
        <v>250018</v>
      </c>
      <c r="B3351" s="8" t="str">
        <f>"2561404011823"</f>
        <v>2561404011823</v>
      </c>
      <c r="C3351" s="8" t="s">
        <v>10</v>
      </c>
      <c r="D3351" s="9">
        <v>56.57</v>
      </c>
      <c r="E3351" s="8">
        <v>176</v>
      </c>
    </row>
    <row r="3352" s="3" customFormat="1" ht="18.75" spans="1:5">
      <c r="A3352" s="8" t="str">
        <f t="shared" si="59"/>
        <v>250018</v>
      </c>
      <c r="B3352" s="8" t="str">
        <f>"2561404010122"</f>
        <v>2561404010122</v>
      </c>
      <c r="C3352" s="8" t="s">
        <v>10</v>
      </c>
      <c r="D3352" s="9">
        <v>56.44</v>
      </c>
      <c r="E3352" s="8">
        <v>177</v>
      </c>
    </row>
    <row r="3353" s="3" customFormat="1" ht="18.75" spans="1:5">
      <c r="A3353" s="8" t="str">
        <f t="shared" si="59"/>
        <v>250018</v>
      </c>
      <c r="B3353" s="8" t="str">
        <f>"2561404010924"</f>
        <v>2561404010924</v>
      </c>
      <c r="C3353" s="8" t="s">
        <v>10</v>
      </c>
      <c r="D3353" s="9">
        <v>56.43</v>
      </c>
      <c r="E3353" s="8">
        <v>178</v>
      </c>
    </row>
    <row r="3354" s="3" customFormat="1" ht="18.75" spans="1:5">
      <c r="A3354" s="8" t="str">
        <f t="shared" si="59"/>
        <v>250018</v>
      </c>
      <c r="B3354" s="8" t="str">
        <f>"2561404012421"</f>
        <v>2561404012421</v>
      </c>
      <c r="C3354" s="8" t="s">
        <v>10</v>
      </c>
      <c r="D3354" s="9">
        <v>56.43</v>
      </c>
      <c r="E3354" s="8">
        <v>178</v>
      </c>
    </row>
    <row r="3355" s="3" customFormat="1" ht="18.75" spans="1:5">
      <c r="A3355" s="8" t="str">
        <f t="shared" si="59"/>
        <v>250018</v>
      </c>
      <c r="B3355" s="8" t="str">
        <f>"2561404010618"</f>
        <v>2561404010618</v>
      </c>
      <c r="C3355" s="8" t="s">
        <v>10</v>
      </c>
      <c r="D3355" s="9">
        <v>56.17</v>
      </c>
      <c r="E3355" s="8">
        <v>180</v>
      </c>
    </row>
    <row r="3356" s="3" customFormat="1" ht="18.75" spans="1:5">
      <c r="A3356" s="8" t="str">
        <f t="shared" si="59"/>
        <v>250018</v>
      </c>
      <c r="B3356" s="8" t="str">
        <f>"2561404012409"</f>
        <v>2561404012409</v>
      </c>
      <c r="C3356" s="8" t="s">
        <v>10</v>
      </c>
      <c r="D3356" s="9">
        <v>56.17</v>
      </c>
      <c r="E3356" s="8">
        <v>180</v>
      </c>
    </row>
    <row r="3357" s="3" customFormat="1" ht="18.75" spans="1:5">
      <c r="A3357" s="8" t="str">
        <f t="shared" si="59"/>
        <v>250018</v>
      </c>
      <c r="B3357" s="8" t="str">
        <f>"2561404012616"</f>
        <v>2561404012616</v>
      </c>
      <c r="C3357" s="8" t="s">
        <v>10</v>
      </c>
      <c r="D3357" s="9">
        <v>56.14</v>
      </c>
      <c r="E3357" s="8">
        <v>182</v>
      </c>
    </row>
    <row r="3358" s="3" customFormat="1" ht="18.75" spans="1:5">
      <c r="A3358" s="8" t="str">
        <f t="shared" si="59"/>
        <v>250018</v>
      </c>
      <c r="B3358" s="8" t="str">
        <f>"2561404011707"</f>
        <v>2561404011707</v>
      </c>
      <c r="C3358" s="8" t="s">
        <v>10</v>
      </c>
      <c r="D3358" s="9">
        <v>55.99</v>
      </c>
      <c r="E3358" s="8">
        <v>183</v>
      </c>
    </row>
    <row r="3359" s="3" customFormat="1" ht="18.75" spans="1:5">
      <c r="A3359" s="8" t="str">
        <f t="shared" si="59"/>
        <v>250018</v>
      </c>
      <c r="B3359" s="8" t="str">
        <f>"2561404012004"</f>
        <v>2561404012004</v>
      </c>
      <c r="C3359" s="8" t="s">
        <v>10</v>
      </c>
      <c r="D3359" s="9">
        <v>55.96</v>
      </c>
      <c r="E3359" s="8">
        <v>184</v>
      </c>
    </row>
    <row r="3360" s="3" customFormat="1" ht="18.75" spans="1:5">
      <c r="A3360" s="8" t="str">
        <f t="shared" si="59"/>
        <v>250018</v>
      </c>
      <c r="B3360" s="8" t="str">
        <f>"2561404010729"</f>
        <v>2561404010729</v>
      </c>
      <c r="C3360" s="8" t="s">
        <v>10</v>
      </c>
      <c r="D3360" s="9">
        <v>55.87</v>
      </c>
      <c r="E3360" s="8">
        <v>185</v>
      </c>
    </row>
    <row r="3361" s="3" customFormat="1" ht="18.75" spans="1:5">
      <c r="A3361" s="8" t="str">
        <f t="shared" si="59"/>
        <v>250018</v>
      </c>
      <c r="B3361" s="8" t="str">
        <f>"2561404010401"</f>
        <v>2561404010401</v>
      </c>
      <c r="C3361" s="8" t="s">
        <v>10</v>
      </c>
      <c r="D3361" s="9">
        <v>55.83</v>
      </c>
      <c r="E3361" s="8">
        <v>186</v>
      </c>
    </row>
    <row r="3362" s="3" customFormat="1" ht="18.75" spans="1:5">
      <c r="A3362" s="8" t="str">
        <f t="shared" si="59"/>
        <v>250018</v>
      </c>
      <c r="B3362" s="8" t="str">
        <f>"2561404012402"</f>
        <v>2561404012402</v>
      </c>
      <c r="C3362" s="8" t="s">
        <v>10</v>
      </c>
      <c r="D3362" s="9">
        <v>55.82</v>
      </c>
      <c r="E3362" s="8">
        <v>187</v>
      </c>
    </row>
    <row r="3363" s="3" customFormat="1" ht="18.75" spans="1:5">
      <c r="A3363" s="8" t="str">
        <f t="shared" si="59"/>
        <v>250018</v>
      </c>
      <c r="B3363" s="8" t="str">
        <f>"2561404012704"</f>
        <v>2561404012704</v>
      </c>
      <c r="C3363" s="8" t="s">
        <v>10</v>
      </c>
      <c r="D3363" s="9">
        <v>55.69</v>
      </c>
      <c r="E3363" s="8">
        <v>188</v>
      </c>
    </row>
    <row r="3364" s="3" customFormat="1" ht="18.75" spans="1:5">
      <c r="A3364" s="8" t="str">
        <f t="shared" si="59"/>
        <v>250018</v>
      </c>
      <c r="B3364" s="8" t="str">
        <f>"2561404013004"</f>
        <v>2561404013004</v>
      </c>
      <c r="C3364" s="8" t="s">
        <v>10</v>
      </c>
      <c r="D3364" s="9">
        <v>55.64</v>
      </c>
      <c r="E3364" s="8">
        <v>189</v>
      </c>
    </row>
    <row r="3365" s="3" customFormat="1" ht="18.75" spans="1:5">
      <c r="A3365" s="8" t="str">
        <f t="shared" si="59"/>
        <v>250018</v>
      </c>
      <c r="B3365" s="8" t="str">
        <f>"2561404010403"</f>
        <v>2561404010403</v>
      </c>
      <c r="C3365" s="8" t="s">
        <v>10</v>
      </c>
      <c r="D3365" s="9">
        <v>55.61</v>
      </c>
      <c r="E3365" s="8">
        <v>190</v>
      </c>
    </row>
    <row r="3366" s="3" customFormat="1" ht="18.75" spans="1:5">
      <c r="A3366" s="8" t="str">
        <f t="shared" si="59"/>
        <v>250018</v>
      </c>
      <c r="B3366" s="8" t="str">
        <f>"2561404010810"</f>
        <v>2561404010810</v>
      </c>
      <c r="C3366" s="8" t="s">
        <v>10</v>
      </c>
      <c r="D3366" s="9">
        <v>55.58</v>
      </c>
      <c r="E3366" s="8">
        <v>191</v>
      </c>
    </row>
    <row r="3367" s="3" customFormat="1" ht="18.75" spans="1:5">
      <c r="A3367" s="8" t="str">
        <f t="shared" si="59"/>
        <v>250018</v>
      </c>
      <c r="B3367" s="8" t="str">
        <f>"2561404010413"</f>
        <v>2561404010413</v>
      </c>
      <c r="C3367" s="8" t="s">
        <v>10</v>
      </c>
      <c r="D3367" s="9">
        <v>55.52</v>
      </c>
      <c r="E3367" s="8">
        <v>192</v>
      </c>
    </row>
    <row r="3368" s="3" customFormat="1" ht="18.75" spans="1:5">
      <c r="A3368" s="8" t="str">
        <f t="shared" ref="A3368:A3431" si="60">"250018"</f>
        <v>250018</v>
      </c>
      <c r="B3368" s="8" t="str">
        <f>"2561404012717"</f>
        <v>2561404012717</v>
      </c>
      <c r="C3368" s="8" t="s">
        <v>10</v>
      </c>
      <c r="D3368" s="9">
        <v>55.5</v>
      </c>
      <c r="E3368" s="8">
        <v>193</v>
      </c>
    </row>
    <row r="3369" s="3" customFormat="1" ht="18.75" spans="1:5">
      <c r="A3369" s="8" t="str">
        <f t="shared" si="60"/>
        <v>250018</v>
      </c>
      <c r="B3369" s="8" t="str">
        <f>"2561404010221"</f>
        <v>2561404010221</v>
      </c>
      <c r="C3369" s="8" t="s">
        <v>10</v>
      </c>
      <c r="D3369" s="9">
        <v>55.36</v>
      </c>
      <c r="E3369" s="8">
        <v>194</v>
      </c>
    </row>
    <row r="3370" s="3" customFormat="1" ht="18.75" spans="1:5">
      <c r="A3370" s="8" t="str">
        <f t="shared" si="60"/>
        <v>250018</v>
      </c>
      <c r="B3370" s="8" t="str">
        <f>"2561404011426"</f>
        <v>2561404011426</v>
      </c>
      <c r="C3370" s="8" t="s">
        <v>10</v>
      </c>
      <c r="D3370" s="9">
        <v>55.3</v>
      </c>
      <c r="E3370" s="8">
        <v>195</v>
      </c>
    </row>
    <row r="3371" s="3" customFormat="1" ht="18.75" spans="1:5">
      <c r="A3371" s="8" t="str">
        <f t="shared" si="60"/>
        <v>250018</v>
      </c>
      <c r="B3371" s="8" t="str">
        <f>"2561404011811"</f>
        <v>2561404011811</v>
      </c>
      <c r="C3371" s="8" t="s">
        <v>10</v>
      </c>
      <c r="D3371" s="9">
        <v>55.23</v>
      </c>
      <c r="E3371" s="8">
        <v>196</v>
      </c>
    </row>
    <row r="3372" s="3" customFormat="1" ht="18.75" spans="1:5">
      <c r="A3372" s="8" t="str">
        <f t="shared" si="60"/>
        <v>250018</v>
      </c>
      <c r="B3372" s="8" t="str">
        <f>"2561404012325"</f>
        <v>2561404012325</v>
      </c>
      <c r="C3372" s="8" t="s">
        <v>10</v>
      </c>
      <c r="D3372" s="9">
        <v>55.16</v>
      </c>
      <c r="E3372" s="8">
        <v>197</v>
      </c>
    </row>
    <row r="3373" s="3" customFormat="1" ht="18.75" spans="1:5">
      <c r="A3373" s="8" t="str">
        <f t="shared" si="60"/>
        <v>250018</v>
      </c>
      <c r="B3373" s="8" t="str">
        <f>"2561404011312"</f>
        <v>2561404011312</v>
      </c>
      <c r="C3373" s="8" t="s">
        <v>10</v>
      </c>
      <c r="D3373" s="9">
        <v>55.15</v>
      </c>
      <c r="E3373" s="8">
        <v>198</v>
      </c>
    </row>
    <row r="3374" s="3" customFormat="1" ht="18.75" spans="1:5">
      <c r="A3374" s="8" t="str">
        <f t="shared" si="60"/>
        <v>250018</v>
      </c>
      <c r="B3374" s="8" t="str">
        <f>"2561404010711"</f>
        <v>2561404010711</v>
      </c>
      <c r="C3374" s="8" t="s">
        <v>10</v>
      </c>
      <c r="D3374" s="9">
        <v>55.1</v>
      </c>
      <c r="E3374" s="8">
        <v>199</v>
      </c>
    </row>
    <row r="3375" s="3" customFormat="1" ht="18.75" spans="1:5">
      <c r="A3375" s="8" t="str">
        <f t="shared" si="60"/>
        <v>250018</v>
      </c>
      <c r="B3375" s="8" t="str">
        <f>"2561404011327"</f>
        <v>2561404011327</v>
      </c>
      <c r="C3375" s="8" t="s">
        <v>10</v>
      </c>
      <c r="D3375" s="9">
        <v>55.08</v>
      </c>
      <c r="E3375" s="8">
        <v>200</v>
      </c>
    </row>
    <row r="3376" s="3" customFormat="1" ht="18.75" spans="1:5">
      <c r="A3376" s="8" t="str">
        <f t="shared" si="60"/>
        <v>250018</v>
      </c>
      <c r="B3376" s="8" t="str">
        <f>"2561404010419"</f>
        <v>2561404010419</v>
      </c>
      <c r="C3376" s="8" t="s">
        <v>10</v>
      </c>
      <c r="D3376" s="9">
        <v>55.05</v>
      </c>
      <c r="E3376" s="8">
        <v>201</v>
      </c>
    </row>
    <row r="3377" s="3" customFormat="1" ht="18.75" spans="1:5">
      <c r="A3377" s="8" t="str">
        <f t="shared" si="60"/>
        <v>250018</v>
      </c>
      <c r="B3377" s="8" t="str">
        <f>"2561404012316"</f>
        <v>2561404012316</v>
      </c>
      <c r="C3377" s="8" t="s">
        <v>10</v>
      </c>
      <c r="D3377" s="9">
        <v>55.05</v>
      </c>
      <c r="E3377" s="8">
        <v>201</v>
      </c>
    </row>
    <row r="3378" s="3" customFormat="1" ht="18.75" spans="1:5">
      <c r="A3378" s="8" t="str">
        <f t="shared" si="60"/>
        <v>250018</v>
      </c>
      <c r="B3378" s="8" t="str">
        <f>"2561404010607"</f>
        <v>2561404010607</v>
      </c>
      <c r="C3378" s="8" t="s">
        <v>10</v>
      </c>
      <c r="D3378" s="9">
        <v>54.99</v>
      </c>
      <c r="E3378" s="8">
        <v>203</v>
      </c>
    </row>
    <row r="3379" s="3" customFormat="1" ht="18.75" spans="1:5">
      <c r="A3379" s="8" t="str">
        <f t="shared" si="60"/>
        <v>250018</v>
      </c>
      <c r="B3379" s="8" t="str">
        <f>"2561404013114"</f>
        <v>2561404013114</v>
      </c>
      <c r="C3379" s="8" t="s">
        <v>10</v>
      </c>
      <c r="D3379" s="9">
        <v>54.85</v>
      </c>
      <c r="E3379" s="8">
        <v>204</v>
      </c>
    </row>
    <row r="3380" s="3" customFormat="1" ht="18.75" spans="1:5">
      <c r="A3380" s="8" t="str">
        <f t="shared" si="60"/>
        <v>250018</v>
      </c>
      <c r="B3380" s="8" t="str">
        <f>"2561404010207"</f>
        <v>2561404010207</v>
      </c>
      <c r="C3380" s="8" t="s">
        <v>10</v>
      </c>
      <c r="D3380" s="9">
        <v>54.76</v>
      </c>
      <c r="E3380" s="8">
        <v>205</v>
      </c>
    </row>
    <row r="3381" s="3" customFormat="1" ht="18.75" spans="1:5">
      <c r="A3381" s="8" t="str">
        <f t="shared" si="60"/>
        <v>250018</v>
      </c>
      <c r="B3381" s="8" t="str">
        <f>"2561404010728"</f>
        <v>2561404010728</v>
      </c>
      <c r="C3381" s="8" t="s">
        <v>10</v>
      </c>
      <c r="D3381" s="9">
        <v>54.71</v>
      </c>
      <c r="E3381" s="8">
        <v>206</v>
      </c>
    </row>
    <row r="3382" s="3" customFormat="1" ht="18.75" spans="1:5">
      <c r="A3382" s="8" t="str">
        <f t="shared" si="60"/>
        <v>250018</v>
      </c>
      <c r="B3382" s="8" t="str">
        <f>"2561404011906"</f>
        <v>2561404011906</v>
      </c>
      <c r="C3382" s="8" t="s">
        <v>10</v>
      </c>
      <c r="D3382" s="9">
        <v>54.69</v>
      </c>
      <c r="E3382" s="8">
        <v>207</v>
      </c>
    </row>
    <row r="3383" s="3" customFormat="1" ht="18.75" spans="1:5">
      <c r="A3383" s="8" t="str">
        <f t="shared" si="60"/>
        <v>250018</v>
      </c>
      <c r="B3383" s="8" t="str">
        <f>"2561404012028"</f>
        <v>2561404012028</v>
      </c>
      <c r="C3383" s="8" t="s">
        <v>10</v>
      </c>
      <c r="D3383" s="9">
        <v>54.69</v>
      </c>
      <c r="E3383" s="8">
        <v>207</v>
      </c>
    </row>
    <row r="3384" s="3" customFormat="1" ht="18.75" spans="1:5">
      <c r="A3384" s="8" t="str">
        <f t="shared" si="60"/>
        <v>250018</v>
      </c>
      <c r="B3384" s="8" t="str">
        <f>"2561404011613"</f>
        <v>2561404011613</v>
      </c>
      <c r="C3384" s="8" t="s">
        <v>10</v>
      </c>
      <c r="D3384" s="9">
        <v>54.64</v>
      </c>
      <c r="E3384" s="8">
        <v>209</v>
      </c>
    </row>
    <row r="3385" s="3" customFormat="1" ht="18.75" spans="1:5">
      <c r="A3385" s="8" t="str">
        <f t="shared" si="60"/>
        <v>250018</v>
      </c>
      <c r="B3385" s="8" t="str">
        <f>"2561404012516"</f>
        <v>2561404012516</v>
      </c>
      <c r="C3385" s="8" t="s">
        <v>10</v>
      </c>
      <c r="D3385" s="9">
        <v>54.64</v>
      </c>
      <c r="E3385" s="8">
        <v>209</v>
      </c>
    </row>
    <row r="3386" s="3" customFormat="1" ht="18.75" spans="1:5">
      <c r="A3386" s="8" t="str">
        <f t="shared" si="60"/>
        <v>250018</v>
      </c>
      <c r="B3386" s="8" t="str">
        <f>"2561404011910"</f>
        <v>2561404011910</v>
      </c>
      <c r="C3386" s="8" t="s">
        <v>10</v>
      </c>
      <c r="D3386" s="9">
        <v>54.48</v>
      </c>
      <c r="E3386" s="8">
        <v>211</v>
      </c>
    </row>
    <row r="3387" s="3" customFormat="1" ht="18.75" spans="1:5">
      <c r="A3387" s="8" t="str">
        <f t="shared" si="60"/>
        <v>250018</v>
      </c>
      <c r="B3387" s="8" t="str">
        <f>"2561404010517"</f>
        <v>2561404010517</v>
      </c>
      <c r="C3387" s="8" t="s">
        <v>10</v>
      </c>
      <c r="D3387" s="9">
        <v>54.39</v>
      </c>
      <c r="E3387" s="8">
        <v>212</v>
      </c>
    </row>
    <row r="3388" s="3" customFormat="1" ht="18.75" spans="1:5">
      <c r="A3388" s="8" t="str">
        <f t="shared" si="60"/>
        <v>250018</v>
      </c>
      <c r="B3388" s="8" t="str">
        <f>"2561404012811"</f>
        <v>2561404012811</v>
      </c>
      <c r="C3388" s="8" t="s">
        <v>10</v>
      </c>
      <c r="D3388" s="9">
        <v>54.31</v>
      </c>
      <c r="E3388" s="8">
        <v>213</v>
      </c>
    </row>
    <row r="3389" s="3" customFormat="1" ht="18.75" spans="1:5">
      <c r="A3389" s="8" t="str">
        <f t="shared" si="60"/>
        <v>250018</v>
      </c>
      <c r="B3389" s="8" t="str">
        <f>"2561404012525"</f>
        <v>2561404012525</v>
      </c>
      <c r="C3389" s="8" t="s">
        <v>10</v>
      </c>
      <c r="D3389" s="9">
        <v>54.3</v>
      </c>
      <c r="E3389" s="8">
        <v>214</v>
      </c>
    </row>
    <row r="3390" s="3" customFormat="1" ht="18.75" spans="1:5">
      <c r="A3390" s="8" t="str">
        <f t="shared" si="60"/>
        <v>250018</v>
      </c>
      <c r="B3390" s="8" t="str">
        <f>"2561404010106"</f>
        <v>2561404010106</v>
      </c>
      <c r="C3390" s="8" t="s">
        <v>10</v>
      </c>
      <c r="D3390" s="9">
        <v>54.17</v>
      </c>
      <c r="E3390" s="8">
        <v>215</v>
      </c>
    </row>
    <row r="3391" s="3" customFormat="1" ht="18.75" spans="1:5">
      <c r="A3391" s="8" t="str">
        <f t="shared" si="60"/>
        <v>250018</v>
      </c>
      <c r="B3391" s="8" t="str">
        <f>"2561404011206"</f>
        <v>2561404011206</v>
      </c>
      <c r="C3391" s="8" t="s">
        <v>10</v>
      </c>
      <c r="D3391" s="9">
        <v>53.96</v>
      </c>
      <c r="E3391" s="8">
        <v>216</v>
      </c>
    </row>
    <row r="3392" s="3" customFormat="1" ht="18.75" spans="1:5">
      <c r="A3392" s="8" t="str">
        <f t="shared" si="60"/>
        <v>250018</v>
      </c>
      <c r="B3392" s="8" t="str">
        <f>"2561404011822"</f>
        <v>2561404011822</v>
      </c>
      <c r="C3392" s="8" t="s">
        <v>10</v>
      </c>
      <c r="D3392" s="9">
        <v>53.96</v>
      </c>
      <c r="E3392" s="8">
        <v>216</v>
      </c>
    </row>
    <row r="3393" s="3" customFormat="1" ht="18.75" spans="1:5">
      <c r="A3393" s="8" t="str">
        <f t="shared" si="60"/>
        <v>250018</v>
      </c>
      <c r="B3393" s="8" t="str">
        <f>"2561404011402"</f>
        <v>2561404011402</v>
      </c>
      <c r="C3393" s="8" t="s">
        <v>10</v>
      </c>
      <c r="D3393" s="9">
        <v>53.9</v>
      </c>
      <c r="E3393" s="8">
        <v>218</v>
      </c>
    </row>
    <row r="3394" s="3" customFormat="1" ht="18.75" spans="1:5">
      <c r="A3394" s="8" t="str">
        <f t="shared" si="60"/>
        <v>250018</v>
      </c>
      <c r="B3394" s="8" t="str">
        <f>"2561404011929"</f>
        <v>2561404011929</v>
      </c>
      <c r="C3394" s="8" t="s">
        <v>10</v>
      </c>
      <c r="D3394" s="9">
        <v>53.7</v>
      </c>
      <c r="E3394" s="8">
        <v>219</v>
      </c>
    </row>
    <row r="3395" s="3" customFormat="1" ht="18.75" spans="1:5">
      <c r="A3395" s="8" t="str">
        <f t="shared" si="60"/>
        <v>250018</v>
      </c>
      <c r="B3395" s="8" t="str">
        <f>"2561404012719"</f>
        <v>2561404012719</v>
      </c>
      <c r="C3395" s="8" t="s">
        <v>10</v>
      </c>
      <c r="D3395" s="9">
        <v>53.69</v>
      </c>
      <c r="E3395" s="8">
        <v>220</v>
      </c>
    </row>
    <row r="3396" s="3" customFormat="1" ht="18.75" spans="1:5">
      <c r="A3396" s="8" t="str">
        <f t="shared" si="60"/>
        <v>250018</v>
      </c>
      <c r="B3396" s="8" t="str">
        <f>"2561404010117"</f>
        <v>2561404010117</v>
      </c>
      <c r="C3396" s="8" t="s">
        <v>10</v>
      </c>
      <c r="D3396" s="9">
        <v>53.68</v>
      </c>
      <c r="E3396" s="8">
        <v>221</v>
      </c>
    </row>
    <row r="3397" s="3" customFormat="1" ht="18.75" spans="1:5">
      <c r="A3397" s="8" t="str">
        <f t="shared" si="60"/>
        <v>250018</v>
      </c>
      <c r="B3397" s="8" t="str">
        <f>"2561404011107"</f>
        <v>2561404011107</v>
      </c>
      <c r="C3397" s="8" t="s">
        <v>10</v>
      </c>
      <c r="D3397" s="9">
        <v>53.53</v>
      </c>
      <c r="E3397" s="8">
        <v>222</v>
      </c>
    </row>
    <row r="3398" s="3" customFormat="1" ht="18.75" spans="1:5">
      <c r="A3398" s="8" t="str">
        <f t="shared" si="60"/>
        <v>250018</v>
      </c>
      <c r="B3398" s="8" t="str">
        <f>"2561404012220"</f>
        <v>2561404012220</v>
      </c>
      <c r="C3398" s="8" t="s">
        <v>10</v>
      </c>
      <c r="D3398" s="9">
        <v>53.44</v>
      </c>
      <c r="E3398" s="8">
        <v>223</v>
      </c>
    </row>
    <row r="3399" s="3" customFormat="1" ht="18.75" spans="1:5">
      <c r="A3399" s="8" t="str">
        <f t="shared" si="60"/>
        <v>250018</v>
      </c>
      <c r="B3399" s="8" t="str">
        <f>"2561404011225"</f>
        <v>2561404011225</v>
      </c>
      <c r="C3399" s="8" t="s">
        <v>10</v>
      </c>
      <c r="D3399" s="9">
        <v>53.31</v>
      </c>
      <c r="E3399" s="8">
        <v>224</v>
      </c>
    </row>
    <row r="3400" s="3" customFormat="1" ht="18.75" spans="1:5">
      <c r="A3400" s="8" t="str">
        <f t="shared" si="60"/>
        <v>250018</v>
      </c>
      <c r="B3400" s="8" t="str">
        <f>"2561404011724"</f>
        <v>2561404011724</v>
      </c>
      <c r="C3400" s="8" t="s">
        <v>10</v>
      </c>
      <c r="D3400" s="9">
        <v>53.21</v>
      </c>
      <c r="E3400" s="8">
        <v>225</v>
      </c>
    </row>
    <row r="3401" s="3" customFormat="1" ht="18.75" spans="1:5">
      <c r="A3401" s="8" t="str">
        <f t="shared" si="60"/>
        <v>250018</v>
      </c>
      <c r="B3401" s="8" t="str">
        <f>"2561404011127"</f>
        <v>2561404011127</v>
      </c>
      <c r="C3401" s="8" t="s">
        <v>10</v>
      </c>
      <c r="D3401" s="9">
        <v>53.01</v>
      </c>
      <c r="E3401" s="8">
        <v>226</v>
      </c>
    </row>
    <row r="3402" s="3" customFormat="1" ht="18.75" spans="1:5">
      <c r="A3402" s="8" t="str">
        <f t="shared" si="60"/>
        <v>250018</v>
      </c>
      <c r="B3402" s="8" t="str">
        <f>"2561404011703"</f>
        <v>2561404011703</v>
      </c>
      <c r="C3402" s="8" t="s">
        <v>10</v>
      </c>
      <c r="D3402" s="9">
        <v>52.98</v>
      </c>
      <c r="E3402" s="8">
        <v>227</v>
      </c>
    </row>
    <row r="3403" s="3" customFormat="1" ht="18.75" spans="1:5">
      <c r="A3403" s="8" t="str">
        <f t="shared" si="60"/>
        <v>250018</v>
      </c>
      <c r="B3403" s="8" t="str">
        <f>"2561404012912"</f>
        <v>2561404012912</v>
      </c>
      <c r="C3403" s="8" t="s">
        <v>10</v>
      </c>
      <c r="D3403" s="9">
        <v>52.97</v>
      </c>
      <c r="E3403" s="8">
        <v>228</v>
      </c>
    </row>
    <row r="3404" s="3" customFormat="1" ht="18.75" spans="1:5">
      <c r="A3404" s="8" t="str">
        <f t="shared" si="60"/>
        <v>250018</v>
      </c>
      <c r="B3404" s="8" t="str">
        <f>"2561404011529"</f>
        <v>2561404011529</v>
      </c>
      <c r="C3404" s="8" t="s">
        <v>10</v>
      </c>
      <c r="D3404" s="9">
        <v>52.79</v>
      </c>
      <c r="E3404" s="8">
        <v>229</v>
      </c>
    </row>
    <row r="3405" s="3" customFormat="1" ht="18.75" spans="1:5">
      <c r="A3405" s="8" t="str">
        <f t="shared" si="60"/>
        <v>250018</v>
      </c>
      <c r="B3405" s="8" t="str">
        <f>"2561404010130"</f>
        <v>2561404010130</v>
      </c>
      <c r="C3405" s="8" t="s">
        <v>10</v>
      </c>
      <c r="D3405" s="9">
        <v>52.72</v>
      </c>
      <c r="E3405" s="8">
        <v>230</v>
      </c>
    </row>
    <row r="3406" s="3" customFormat="1" ht="18.75" spans="1:5">
      <c r="A3406" s="8" t="str">
        <f t="shared" si="60"/>
        <v>250018</v>
      </c>
      <c r="B3406" s="8" t="str">
        <f>"2561404011526"</f>
        <v>2561404011526</v>
      </c>
      <c r="C3406" s="8" t="s">
        <v>10</v>
      </c>
      <c r="D3406" s="9">
        <v>52.7</v>
      </c>
      <c r="E3406" s="8">
        <v>231</v>
      </c>
    </row>
    <row r="3407" s="3" customFormat="1" ht="18.75" spans="1:5">
      <c r="A3407" s="8" t="str">
        <f t="shared" si="60"/>
        <v>250018</v>
      </c>
      <c r="B3407" s="8" t="str">
        <f>"2561404012810"</f>
        <v>2561404012810</v>
      </c>
      <c r="C3407" s="8" t="s">
        <v>10</v>
      </c>
      <c r="D3407" s="9">
        <v>52.66</v>
      </c>
      <c r="E3407" s="8">
        <v>232</v>
      </c>
    </row>
    <row r="3408" s="3" customFormat="1" ht="18.75" spans="1:5">
      <c r="A3408" s="8" t="str">
        <f t="shared" si="60"/>
        <v>250018</v>
      </c>
      <c r="B3408" s="8" t="str">
        <f>"2561404012712"</f>
        <v>2561404012712</v>
      </c>
      <c r="C3408" s="8" t="s">
        <v>10</v>
      </c>
      <c r="D3408" s="9">
        <v>52.63</v>
      </c>
      <c r="E3408" s="8">
        <v>233</v>
      </c>
    </row>
    <row r="3409" s="3" customFormat="1" ht="18.75" spans="1:5">
      <c r="A3409" s="8" t="str">
        <f t="shared" si="60"/>
        <v>250018</v>
      </c>
      <c r="B3409" s="8" t="str">
        <f>"2561404011903"</f>
        <v>2561404011903</v>
      </c>
      <c r="C3409" s="8" t="s">
        <v>10</v>
      </c>
      <c r="D3409" s="9">
        <v>52.55</v>
      </c>
      <c r="E3409" s="8">
        <v>234</v>
      </c>
    </row>
    <row r="3410" s="3" customFormat="1" ht="18.75" spans="1:5">
      <c r="A3410" s="8" t="str">
        <f t="shared" si="60"/>
        <v>250018</v>
      </c>
      <c r="B3410" s="8" t="str">
        <f>"2561404012730"</f>
        <v>2561404012730</v>
      </c>
      <c r="C3410" s="8" t="s">
        <v>10</v>
      </c>
      <c r="D3410" s="9">
        <v>52.42</v>
      </c>
      <c r="E3410" s="8">
        <v>235</v>
      </c>
    </row>
    <row r="3411" s="3" customFormat="1" ht="18.75" spans="1:5">
      <c r="A3411" s="8" t="str">
        <f t="shared" si="60"/>
        <v>250018</v>
      </c>
      <c r="B3411" s="8" t="str">
        <f>"2561404010418"</f>
        <v>2561404010418</v>
      </c>
      <c r="C3411" s="8" t="s">
        <v>10</v>
      </c>
      <c r="D3411" s="9">
        <v>52.39</v>
      </c>
      <c r="E3411" s="8">
        <v>236</v>
      </c>
    </row>
    <row r="3412" s="3" customFormat="1" ht="18.75" spans="1:5">
      <c r="A3412" s="8" t="str">
        <f t="shared" si="60"/>
        <v>250018</v>
      </c>
      <c r="B3412" s="8" t="str">
        <f>"2561404011513"</f>
        <v>2561404011513</v>
      </c>
      <c r="C3412" s="8" t="s">
        <v>10</v>
      </c>
      <c r="D3412" s="9">
        <v>52.31</v>
      </c>
      <c r="E3412" s="8">
        <v>237</v>
      </c>
    </row>
    <row r="3413" s="3" customFormat="1" ht="18.75" spans="1:5">
      <c r="A3413" s="8" t="str">
        <f t="shared" si="60"/>
        <v>250018</v>
      </c>
      <c r="B3413" s="8" t="str">
        <f>"2561404012927"</f>
        <v>2561404012927</v>
      </c>
      <c r="C3413" s="8" t="s">
        <v>10</v>
      </c>
      <c r="D3413" s="9">
        <v>52.16</v>
      </c>
      <c r="E3413" s="8">
        <v>238</v>
      </c>
    </row>
    <row r="3414" s="3" customFormat="1" ht="18.75" spans="1:5">
      <c r="A3414" s="8" t="str">
        <f t="shared" si="60"/>
        <v>250018</v>
      </c>
      <c r="B3414" s="8" t="str">
        <f>"2561404013023"</f>
        <v>2561404013023</v>
      </c>
      <c r="C3414" s="8" t="s">
        <v>10</v>
      </c>
      <c r="D3414" s="9">
        <v>51.94</v>
      </c>
      <c r="E3414" s="8">
        <v>239</v>
      </c>
    </row>
    <row r="3415" s="3" customFormat="1" ht="18.75" spans="1:5">
      <c r="A3415" s="8" t="str">
        <f t="shared" si="60"/>
        <v>250018</v>
      </c>
      <c r="B3415" s="8" t="str">
        <f>"2561404012519"</f>
        <v>2561404012519</v>
      </c>
      <c r="C3415" s="8" t="s">
        <v>10</v>
      </c>
      <c r="D3415" s="9">
        <v>51.9</v>
      </c>
      <c r="E3415" s="8">
        <v>240</v>
      </c>
    </row>
    <row r="3416" s="3" customFormat="1" ht="18.75" spans="1:5">
      <c r="A3416" s="8" t="str">
        <f t="shared" si="60"/>
        <v>250018</v>
      </c>
      <c r="B3416" s="8" t="str">
        <f>"2561404011309"</f>
        <v>2561404011309</v>
      </c>
      <c r="C3416" s="8" t="s">
        <v>10</v>
      </c>
      <c r="D3416" s="9">
        <v>51.79</v>
      </c>
      <c r="E3416" s="8">
        <v>241</v>
      </c>
    </row>
    <row r="3417" s="3" customFormat="1" ht="18.75" spans="1:5">
      <c r="A3417" s="8" t="str">
        <f t="shared" si="60"/>
        <v>250018</v>
      </c>
      <c r="B3417" s="8" t="str">
        <f>"2561404010202"</f>
        <v>2561404010202</v>
      </c>
      <c r="C3417" s="8" t="s">
        <v>10</v>
      </c>
      <c r="D3417" s="9">
        <v>51.77</v>
      </c>
      <c r="E3417" s="8">
        <v>242</v>
      </c>
    </row>
    <row r="3418" s="3" customFormat="1" ht="18.75" spans="1:5">
      <c r="A3418" s="8" t="str">
        <f t="shared" si="60"/>
        <v>250018</v>
      </c>
      <c r="B3418" s="8" t="str">
        <f>"2561404011210"</f>
        <v>2561404011210</v>
      </c>
      <c r="C3418" s="8" t="s">
        <v>10</v>
      </c>
      <c r="D3418" s="9">
        <v>51.64</v>
      </c>
      <c r="E3418" s="8">
        <v>243</v>
      </c>
    </row>
    <row r="3419" s="3" customFormat="1" ht="18.75" spans="1:5">
      <c r="A3419" s="8" t="str">
        <f t="shared" si="60"/>
        <v>250018</v>
      </c>
      <c r="B3419" s="8" t="str">
        <f>"2561404011101"</f>
        <v>2561404011101</v>
      </c>
      <c r="C3419" s="8" t="s">
        <v>10</v>
      </c>
      <c r="D3419" s="9">
        <v>51.62</v>
      </c>
      <c r="E3419" s="8">
        <v>244</v>
      </c>
    </row>
    <row r="3420" s="3" customFormat="1" ht="18.75" spans="1:5">
      <c r="A3420" s="8" t="str">
        <f t="shared" si="60"/>
        <v>250018</v>
      </c>
      <c r="B3420" s="8" t="str">
        <f>"2561404011728"</f>
        <v>2561404011728</v>
      </c>
      <c r="C3420" s="8" t="s">
        <v>10</v>
      </c>
      <c r="D3420" s="9">
        <v>51.56</v>
      </c>
      <c r="E3420" s="8">
        <v>245</v>
      </c>
    </row>
    <row r="3421" s="3" customFormat="1" ht="18.75" spans="1:5">
      <c r="A3421" s="8" t="str">
        <f t="shared" si="60"/>
        <v>250018</v>
      </c>
      <c r="B3421" s="8" t="str">
        <f>"2561404010307"</f>
        <v>2561404010307</v>
      </c>
      <c r="C3421" s="8" t="s">
        <v>10</v>
      </c>
      <c r="D3421" s="9">
        <v>51.52</v>
      </c>
      <c r="E3421" s="8">
        <v>246</v>
      </c>
    </row>
    <row r="3422" s="3" customFormat="1" ht="18.75" spans="1:5">
      <c r="A3422" s="8" t="str">
        <f t="shared" si="60"/>
        <v>250018</v>
      </c>
      <c r="B3422" s="8" t="str">
        <f>"2561404010620"</f>
        <v>2561404010620</v>
      </c>
      <c r="C3422" s="8" t="s">
        <v>10</v>
      </c>
      <c r="D3422" s="9">
        <v>51.44</v>
      </c>
      <c r="E3422" s="8">
        <v>247</v>
      </c>
    </row>
    <row r="3423" s="3" customFormat="1" ht="18.75" spans="1:5">
      <c r="A3423" s="8" t="str">
        <f t="shared" si="60"/>
        <v>250018</v>
      </c>
      <c r="B3423" s="8" t="str">
        <f>"2561404012530"</f>
        <v>2561404012530</v>
      </c>
      <c r="C3423" s="8" t="s">
        <v>10</v>
      </c>
      <c r="D3423" s="9">
        <v>51.44</v>
      </c>
      <c r="E3423" s="8">
        <v>247</v>
      </c>
    </row>
    <row r="3424" s="3" customFormat="1" ht="18.75" spans="1:5">
      <c r="A3424" s="8" t="str">
        <f t="shared" si="60"/>
        <v>250018</v>
      </c>
      <c r="B3424" s="8" t="str">
        <f>"2561404011916"</f>
        <v>2561404011916</v>
      </c>
      <c r="C3424" s="8" t="s">
        <v>10</v>
      </c>
      <c r="D3424" s="9">
        <v>51.34</v>
      </c>
      <c r="E3424" s="8">
        <v>249</v>
      </c>
    </row>
    <row r="3425" s="3" customFormat="1" ht="18.75" spans="1:5">
      <c r="A3425" s="8" t="str">
        <f t="shared" si="60"/>
        <v>250018</v>
      </c>
      <c r="B3425" s="8" t="str">
        <f>"2561404011411"</f>
        <v>2561404011411</v>
      </c>
      <c r="C3425" s="8" t="s">
        <v>10</v>
      </c>
      <c r="D3425" s="9">
        <v>51.32</v>
      </c>
      <c r="E3425" s="8">
        <v>250</v>
      </c>
    </row>
    <row r="3426" s="3" customFormat="1" ht="18.75" spans="1:5">
      <c r="A3426" s="8" t="str">
        <f t="shared" si="60"/>
        <v>250018</v>
      </c>
      <c r="B3426" s="8" t="str">
        <f>"2561404010423"</f>
        <v>2561404010423</v>
      </c>
      <c r="C3426" s="8" t="s">
        <v>10</v>
      </c>
      <c r="D3426" s="9">
        <v>51.1</v>
      </c>
      <c r="E3426" s="8">
        <v>251</v>
      </c>
    </row>
    <row r="3427" s="3" customFormat="1" ht="18.75" spans="1:5">
      <c r="A3427" s="8" t="str">
        <f t="shared" si="60"/>
        <v>250018</v>
      </c>
      <c r="B3427" s="8" t="str">
        <f>"2561404010308"</f>
        <v>2561404010308</v>
      </c>
      <c r="C3427" s="8" t="s">
        <v>10</v>
      </c>
      <c r="D3427" s="9">
        <v>50.99</v>
      </c>
      <c r="E3427" s="8">
        <v>252</v>
      </c>
    </row>
    <row r="3428" s="3" customFormat="1" ht="18.75" spans="1:5">
      <c r="A3428" s="8" t="str">
        <f t="shared" si="60"/>
        <v>250018</v>
      </c>
      <c r="B3428" s="8" t="str">
        <f>"2561404010101"</f>
        <v>2561404010101</v>
      </c>
      <c r="C3428" s="8" t="s">
        <v>10</v>
      </c>
      <c r="D3428" s="9">
        <v>50.95</v>
      </c>
      <c r="E3428" s="8">
        <v>253</v>
      </c>
    </row>
    <row r="3429" s="3" customFormat="1" ht="18.75" spans="1:5">
      <c r="A3429" s="8" t="str">
        <f t="shared" si="60"/>
        <v>250018</v>
      </c>
      <c r="B3429" s="8" t="str">
        <f>"2561404012917"</f>
        <v>2561404012917</v>
      </c>
      <c r="C3429" s="8" t="s">
        <v>10</v>
      </c>
      <c r="D3429" s="9">
        <v>50.88</v>
      </c>
      <c r="E3429" s="8">
        <v>254</v>
      </c>
    </row>
    <row r="3430" s="3" customFormat="1" ht="18.75" spans="1:5">
      <c r="A3430" s="8" t="str">
        <f t="shared" si="60"/>
        <v>250018</v>
      </c>
      <c r="B3430" s="8" t="str">
        <f>"2561404012116"</f>
        <v>2561404012116</v>
      </c>
      <c r="C3430" s="8" t="s">
        <v>10</v>
      </c>
      <c r="D3430" s="9">
        <v>50.87</v>
      </c>
      <c r="E3430" s="8">
        <v>255</v>
      </c>
    </row>
    <row r="3431" s="3" customFormat="1" ht="18.75" spans="1:5">
      <c r="A3431" s="8" t="str">
        <f t="shared" si="60"/>
        <v>250018</v>
      </c>
      <c r="B3431" s="8" t="str">
        <f>"2561404010601"</f>
        <v>2561404010601</v>
      </c>
      <c r="C3431" s="8" t="s">
        <v>10</v>
      </c>
      <c r="D3431" s="9">
        <v>50.82</v>
      </c>
      <c r="E3431" s="8">
        <v>256</v>
      </c>
    </row>
    <row r="3432" s="3" customFormat="1" ht="18.75" spans="1:5">
      <c r="A3432" s="8" t="str">
        <f t="shared" ref="A3432:A3495" si="61">"250018"</f>
        <v>250018</v>
      </c>
      <c r="B3432" s="8" t="str">
        <f>"2561404010608"</f>
        <v>2561404010608</v>
      </c>
      <c r="C3432" s="8" t="s">
        <v>10</v>
      </c>
      <c r="D3432" s="9">
        <v>50.82</v>
      </c>
      <c r="E3432" s="8">
        <v>256</v>
      </c>
    </row>
    <row r="3433" s="3" customFormat="1" ht="18.75" spans="1:5">
      <c r="A3433" s="8" t="str">
        <f t="shared" si="61"/>
        <v>250018</v>
      </c>
      <c r="B3433" s="8" t="str">
        <f>"2561404011207"</f>
        <v>2561404011207</v>
      </c>
      <c r="C3433" s="8" t="s">
        <v>10</v>
      </c>
      <c r="D3433" s="9">
        <v>50.78</v>
      </c>
      <c r="E3433" s="8">
        <v>258</v>
      </c>
    </row>
    <row r="3434" s="3" customFormat="1" ht="18.75" spans="1:5">
      <c r="A3434" s="8" t="str">
        <f t="shared" si="61"/>
        <v>250018</v>
      </c>
      <c r="B3434" s="8" t="str">
        <f>"2561404010327"</f>
        <v>2561404010327</v>
      </c>
      <c r="C3434" s="8" t="s">
        <v>10</v>
      </c>
      <c r="D3434" s="9">
        <v>50.52</v>
      </c>
      <c r="E3434" s="8">
        <v>259</v>
      </c>
    </row>
    <row r="3435" s="3" customFormat="1" ht="18.75" spans="1:5">
      <c r="A3435" s="8" t="str">
        <f t="shared" si="61"/>
        <v>250018</v>
      </c>
      <c r="B3435" s="8" t="str">
        <f>"2561404011323"</f>
        <v>2561404011323</v>
      </c>
      <c r="C3435" s="8" t="s">
        <v>10</v>
      </c>
      <c r="D3435" s="9">
        <v>50.44</v>
      </c>
      <c r="E3435" s="8">
        <v>260</v>
      </c>
    </row>
    <row r="3436" s="3" customFormat="1" ht="18.75" spans="1:5">
      <c r="A3436" s="8" t="str">
        <f t="shared" si="61"/>
        <v>250018</v>
      </c>
      <c r="B3436" s="8" t="str">
        <f>"2561404010602"</f>
        <v>2561404010602</v>
      </c>
      <c r="C3436" s="8" t="s">
        <v>10</v>
      </c>
      <c r="D3436" s="9">
        <v>50.37</v>
      </c>
      <c r="E3436" s="8">
        <v>261</v>
      </c>
    </row>
    <row r="3437" s="3" customFormat="1" ht="18.75" spans="1:5">
      <c r="A3437" s="8" t="str">
        <f t="shared" si="61"/>
        <v>250018</v>
      </c>
      <c r="B3437" s="8" t="str">
        <f>"2561404012526"</f>
        <v>2561404012526</v>
      </c>
      <c r="C3437" s="8" t="s">
        <v>10</v>
      </c>
      <c r="D3437" s="9">
        <v>50.25</v>
      </c>
      <c r="E3437" s="8">
        <v>262</v>
      </c>
    </row>
    <row r="3438" s="3" customFormat="1" ht="18.75" spans="1:5">
      <c r="A3438" s="8" t="str">
        <f t="shared" si="61"/>
        <v>250018</v>
      </c>
      <c r="B3438" s="8" t="str">
        <f>"2561404011601"</f>
        <v>2561404011601</v>
      </c>
      <c r="C3438" s="8" t="s">
        <v>10</v>
      </c>
      <c r="D3438" s="9">
        <v>50.2</v>
      </c>
      <c r="E3438" s="8">
        <v>263</v>
      </c>
    </row>
    <row r="3439" s="3" customFormat="1" ht="18.75" spans="1:5">
      <c r="A3439" s="8" t="str">
        <f t="shared" si="61"/>
        <v>250018</v>
      </c>
      <c r="B3439" s="8" t="str">
        <f>"2561404011408"</f>
        <v>2561404011408</v>
      </c>
      <c r="C3439" s="8" t="s">
        <v>10</v>
      </c>
      <c r="D3439" s="9">
        <v>50.19</v>
      </c>
      <c r="E3439" s="8">
        <v>264</v>
      </c>
    </row>
    <row r="3440" s="3" customFormat="1" ht="18.75" spans="1:5">
      <c r="A3440" s="8" t="str">
        <f t="shared" si="61"/>
        <v>250018</v>
      </c>
      <c r="B3440" s="8" t="str">
        <f>"2561404011314"</f>
        <v>2561404011314</v>
      </c>
      <c r="C3440" s="8" t="s">
        <v>10</v>
      </c>
      <c r="D3440" s="9">
        <v>50.12</v>
      </c>
      <c r="E3440" s="8">
        <v>265</v>
      </c>
    </row>
    <row r="3441" s="3" customFormat="1" ht="18.75" spans="1:5">
      <c r="A3441" s="8" t="str">
        <f t="shared" si="61"/>
        <v>250018</v>
      </c>
      <c r="B3441" s="8" t="str">
        <f>"2561404012026"</f>
        <v>2561404012026</v>
      </c>
      <c r="C3441" s="8" t="s">
        <v>10</v>
      </c>
      <c r="D3441" s="9">
        <v>50.07</v>
      </c>
      <c r="E3441" s="8">
        <v>266</v>
      </c>
    </row>
    <row r="3442" s="3" customFormat="1" ht="18.75" spans="1:5">
      <c r="A3442" s="8" t="str">
        <f t="shared" si="61"/>
        <v>250018</v>
      </c>
      <c r="B3442" s="8" t="str">
        <f>"2561404012630"</f>
        <v>2561404012630</v>
      </c>
      <c r="C3442" s="8" t="s">
        <v>10</v>
      </c>
      <c r="D3442" s="9">
        <v>49.97</v>
      </c>
      <c r="E3442" s="8">
        <v>267</v>
      </c>
    </row>
    <row r="3443" s="3" customFormat="1" ht="18.75" spans="1:5">
      <c r="A3443" s="8" t="str">
        <f t="shared" si="61"/>
        <v>250018</v>
      </c>
      <c r="B3443" s="8" t="str">
        <f>"2561404013107"</f>
        <v>2561404013107</v>
      </c>
      <c r="C3443" s="8" t="s">
        <v>10</v>
      </c>
      <c r="D3443" s="9">
        <v>49.91</v>
      </c>
      <c r="E3443" s="8">
        <v>268</v>
      </c>
    </row>
    <row r="3444" s="3" customFormat="1" ht="18.75" spans="1:5">
      <c r="A3444" s="8" t="str">
        <f t="shared" si="61"/>
        <v>250018</v>
      </c>
      <c r="B3444" s="8" t="str">
        <f>"2561404011417"</f>
        <v>2561404011417</v>
      </c>
      <c r="C3444" s="8" t="s">
        <v>10</v>
      </c>
      <c r="D3444" s="9">
        <v>49.7</v>
      </c>
      <c r="E3444" s="8">
        <v>269</v>
      </c>
    </row>
    <row r="3445" s="3" customFormat="1" ht="18.75" spans="1:5">
      <c r="A3445" s="8" t="str">
        <f t="shared" si="61"/>
        <v>250018</v>
      </c>
      <c r="B3445" s="8" t="str">
        <f>"2561404010104"</f>
        <v>2561404010104</v>
      </c>
      <c r="C3445" s="8" t="s">
        <v>10</v>
      </c>
      <c r="D3445" s="9">
        <v>49.52</v>
      </c>
      <c r="E3445" s="8">
        <v>270</v>
      </c>
    </row>
    <row r="3446" s="3" customFormat="1" ht="18.75" spans="1:5">
      <c r="A3446" s="8" t="str">
        <f t="shared" si="61"/>
        <v>250018</v>
      </c>
      <c r="B3446" s="8" t="str">
        <f>"2561404011317"</f>
        <v>2561404011317</v>
      </c>
      <c r="C3446" s="8" t="s">
        <v>10</v>
      </c>
      <c r="D3446" s="9">
        <v>49.4</v>
      </c>
      <c r="E3446" s="8">
        <v>271</v>
      </c>
    </row>
    <row r="3447" s="3" customFormat="1" ht="18.75" spans="1:5">
      <c r="A3447" s="8" t="str">
        <f t="shared" si="61"/>
        <v>250018</v>
      </c>
      <c r="B3447" s="8" t="str">
        <f>"2561404012227"</f>
        <v>2561404012227</v>
      </c>
      <c r="C3447" s="8" t="s">
        <v>10</v>
      </c>
      <c r="D3447" s="9">
        <v>49.25</v>
      </c>
      <c r="E3447" s="8">
        <v>272</v>
      </c>
    </row>
    <row r="3448" s="3" customFormat="1" ht="18.75" spans="1:5">
      <c r="A3448" s="8" t="str">
        <f t="shared" si="61"/>
        <v>250018</v>
      </c>
      <c r="B3448" s="8" t="str">
        <f>"2561404010303"</f>
        <v>2561404010303</v>
      </c>
      <c r="C3448" s="8" t="s">
        <v>10</v>
      </c>
      <c r="D3448" s="9">
        <v>48.96</v>
      </c>
      <c r="E3448" s="8">
        <v>273</v>
      </c>
    </row>
    <row r="3449" s="3" customFormat="1" ht="18.75" spans="1:5">
      <c r="A3449" s="8" t="str">
        <f t="shared" si="61"/>
        <v>250018</v>
      </c>
      <c r="B3449" s="8" t="str">
        <f>"2561404011422"</f>
        <v>2561404011422</v>
      </c>
      <c r="C3449" s="8" t="s">
        <v>10</v>
      </c>
      <c r="D3449" s="9">
        <v>48.93</v>
      </c>
      <c r="E3449" s="8">
        <v>274</v>
      </c>
    </row>
    <row r="3450" s="3" customFormat="1" ht="18.75" spans="1:5">
      <c r="A3450" s="8" t="str">
        <f t="shared" si="61"/>
        <v>250018</v>
      </c>
      <c r="B3450" s="8" t="str">
        <f>"2561404012103"</f>
        <v>2561404012103</v>
      </c>
      <c r="C3450" s="8" t="s">
        <v>10</v>
      </c>
      <c r="D3450" s="9">
        <v>48.89</v>
      </c>
      <c r="E3450" s="8">
        <v>275</v>
      </c>
    </row>
    <row r="3451" s="3" customFormat="1" ht="18.75" spans="1:5">
      <c r="A3451" s="8" t="str">
        <f t="shared" si="61"/>
        <v>250018</v>
      </c>
      <c r="B3451" s="8" t="str">
        <f>"2561404012417"</f>
        <v>2561404012417</v>
      </c>
      <c r="C3451" s="8" t="s">
        <v>10</v>
      </c>
      <c r="D3451" s="9">
        <v>48.72</v>
      </c>
      <c r="E3451" s="8">
        <v>276</v>
      </c>
    </row>
    <row r="3452" s="3" customFormat="1" ht="18.75" spans="1:5">
      <c r="A3452" s="8" t="str">
        <f t="shared" si="61"/>
        <v>250018</v>
      </c>
      <c r="B3452" s="8" t="str">
        <f>"2561404010923"</f>
        <v>2561404010923</v>
      </c>
      <c r="C3452" s="8" t="s">
        <v>10</v>
      </c>
      <c r="D3452" s="9">
        <v>48.63</v>
      </c>
      <c r="E3452" s="8">
        <v>277</v>
      </c>
    </row>
    <row r="3453" s="3" customFormat="1" ht="18.75" spans="1:5">
      <c r="A3453" s="8" t="str">
        <f t="shared" si="61"/>
        <v>250018</v>
      </c>
      <c r="B3453" s="8" t="str">
        <f>"2561404011311"</f>
        <v>2561404011311</v>
      </c>
      <c r="C3453" s="8" t="s">
        <v>10</v>
      </c>
      <c r="D3453" s="9">
        <v>48.63</v>
      </c>
      <c r="E3453" s="8">
        <v>277</v>
      </c>
    </row>
    <row r="3454" s="3" customFormat="1" ht="18.75" spans="1:5">
      <c r="A3454" s="8" t="str">
        <f t="shared" si="61"/>
        <v>250018</v>
      </c>
      <c r="B3454" s="8" t="str">
        <f>"2561404013105"</f>
        <v>2561404013105</v>
      </c>
      <c r="C3454" s="8" t="s">
        <v>10</v>
      </c>
      <c r="D3454" s="9">
        <v>48.55</v>
      </c>
      <c r="E3454" s="8">
        <v>279</v>
      </c>
    </row>
    <row r="3455" s="3" customFormat="1" ht="18.75" spans="1:5">
      <c r="A3455" s="8" t="str">
        <f t="shared" si="61"/>
        <v>250018</v>
      </c>
      <c r="B3455" s="8" t="str">
        <f>"2561404011219"</f>
        <v>2561404011219</v>
      </c>
      <c r="C3455" s="8" t="s">
        <v>10</v>
      </c>
      <c r="D3455" s="9">
        <v>48.48</v>
      </c>
      <c r="E3455" s="8">
        <v>280</v>
      </c>
    </row>
    <row r="3456" s="3" customFormat="1" ht="18.75" spans="1:5">
      <c r="A3456" s="8" t="str">
        <f t="shared" si="61"/>
        <v>250018</v>
      </c>
      <c r="B3456" s="8" t="str">
        <f>"2561404011001"</f>
        <v>2561404011001</v>
      </c>
      <c r="C3456" s="8" t="s">
        <v>10</v>
      </c>
      <c r="D3456" s="9">
        <v>48.4</v>
      </c>
      <c r="E3456" s="8">
        <v>281</v>
      </c>
    </row>
    <row r="3457" s="3" customFormat="1" ht="18.75" spans="1:5">
      <c r="A3457" s="8" t="str">
        <f t="shared" si="61"/>
        <v>250018</v>
      </c>
      <c r="B3457" s="8" t="str">
        <f>"2561404011924"</f>
        <v>2561404011924</v>
      </c>
      <c r="C3457" s="8" t="s">
        <v>10</v>
      </c>
      <c r="D3457" s="9">
        <v>48.4</v>
      </c>
      <c r="E3457" s="8">
        <v>281</v>
      </c>
    </row>
    <row r="3458" s="3" customFormat="1" ht="18.75" spans="1:5">
      <c r="A3458" s="8" t="str">
        <f t="shared" si="61"/>
        <v>250018</v>
      </c>
      <c r="B3458" s="8" t="str">
        <f>"2561404011010"</f>
        <v>2561404011010</v>
      </c>
      <c r="C3458" s="8" t="s">
        <v>10</v>
      </c>
      <c r="D3458" s="9">
        <v>48.2</v>
      </c>
      <c r="E3458" s="8">
        <v>283</v>
      </c>
    </row>
    <row r="3459" s="3" customFormat="1" ht="18.75" spans="1:5">
      <c r="A3459" s="8" t="str">
        <f t="shared" si="61"/>
        <v>250018</v>
      </c>
      <c r="B3459" s="8" t="str">
        <f>"2561404011621"</f>
        <v>2561404011621</v>
      </c>
      <c r="C3459" s="8" t="s">
        <v>10</v>
      </c>
      <c r="D3459" s="9">
        <v>48.14</v>
      </c>
      <c r="E3459" s="8">
        <v>284</v>
      </c>
    </row>
    <row r="3460" s="3" customFormat="1" ht="18.75" spans="1:5">
      <c r="A3460" s="8" t="str">
        <f t="shared" si="61"/>
        <v>250018</v>
      </c>
      <c r="B3460" s="8" t="str">
        <f>"2561404011706"</f>
        <v>2561404011706</v>
      </c>
      <c r="C3460" s="8" t="s">
        <v>10</v>
      </c>
      <c r="D3460" s="9">
        <v>47.92</v>
      </c>
      <c r="E3460" s="8">
        <v>285</v>
      </c>
    </row>
    <row r="3461" s="3" customFormat="1" ht="18.75" spans="1:5">
      <c r="A3461" s="8" t="str">
        <f t="shared" si="61"/>
        <v>250018</v>
      </c>
      <c r="B3461" s="8" t="str">
        <f>"2561404012620"</f>
        <v>2561404012620</v>
      </c>
      <c r="C3461" s="8" t="s">
        <v>10</v>
      </c>
      <c r="D3461" s="9">
        <v>47.7</v>
      </c>
      <c r="E3461" s="8">
        <v>286</v>
      </c>
    </row>
    <row r="3462" s="3" customFormat="1" ht="18.75" spans="1:5">
      <c r="A3462" s="8" t="str">
        <f t="shared" si="61"/>
        <v>250018</v>
      </c>
      <c r="B3462" s="8" t="str">
        <f>"2561404011324"</f>
        <v>2561404011324</v>
      </c>
      <c r="C3462" s="8" t="s">
        <v>10</v>
      </c>
      <c r="D3462" s="9">
        <v>46.86</v>
      </c>
      <c r="E3462" s="8">
        <v>287</v>
      </c>
    </row>
    <row r="3463" s="3" customFormat="1" ht="18.75" spans="1:5">
      <c r="A3463" s="8" t="str">
        <f t="shared" si="61"/>
        <v>250018</v>
      </c>
      <c r="B3463" s="8" t="str">
        <f>"2561404012702"</f>
        <v>2561404012702</v>
      </c>
      <c r="C3463" s="8" t="s">
        <v>10</v>
      </c>
      <c r="D3463" s="9">
        <v>46.38</v>
      </c>
      <c r="E3463" s="8">
        <v>288</v>
      </c>
    </row>
    <row r="3464" s="3" customFormat="1" ht="18.75" spans="1:5">
      <c r="A3464" s="8" t="str">
        <f t="shared" si="61"/>
        <v>250018</v>
      </c>
      <c r="B3464" s="8" t="str">
        <f>"2561404011618"</f>
        <v>2561404011618</v>
      </c>
      <c r="C3464" s="8" t="s">
        <v>10</v>
      </c>
      <c r="D3464" s="9">
        <v>46.29</v>
      </c>
      <c r="E3464" s="8">
        <v>289</v>
      </c>
    </row>
    <row r="3465" s="3" customFormat="1" ht="18.75" spans="1:5">
      <c r="A3465" s="8" t="str">
        <f t="shared" si="61"/>
        <v>250018</v>
      </c>
      <c r="B3465" s="8" t="str">
        <f>"2561404013024"</f>
        <v>2561404013024</v>
      </c>
      <c r="C3465" s="8" t="s">
        <v>10</v>
      </c>
      <c r="D3465" s="9">
        <v>45.45</v>
      </c>
      <c r="E3465" s="8">
        <v>290</v>
      </c>
    </row>
    <row r="3466" s="3" customFormat="1" ht="18.75" spans="1:5">
      <c r="A3466" s="8" t="str">
        <f t="shared" si="61"/>
        <v>250018</v>
      </c>
      <c r="B3466" s="8" t="str">
        <f>"2561404012511"</f>
        <v>2561404012511</v>
      </c>
      <c r="C3466" s="8" t="s">
        <v>10</v>
      </c>
      <c r="D3466" s="9">
        <v>45.36</v>
      </c>
      <c r="E3466" s="8">
        <v>291</v>
      </c>
    </row>
    <row r="3467" s="3" customFormat="1" ht="18.75" spans="1:5">
      <c r="A3467" s="8" t="str">
        <f t="shared" si="61"/>
        <v>250018</v>
      </c>
      <c r="B3467" s="8" t="str">
        <f>"2561404011008"</f>
        <v>2561404011008</v>
      </c>
      <c r="C3467" s="8" t="s">
        <v>10</v>
      </c>
      <c r="D3467" s="9">
        <v>45.34</v>
      </c>
      <c r="E3467" s="8">
        <v>292</v>
      </c>
    </row>
    <row r="3468" s="3" customFormat="1" ht="18.75" spans="1:5">
      <c r="A3468" s="8" t="str">
        <f t="shared" si="61"/>
        <v>250018</v>
      </c>
      <c r="B3468" s="8" t="str">
        <f>"2561404011912"</f>
        <v>2561404011912</v>
      </c>
      <c r="C3468" s="8" t="s">
        <v>10</v>
      </c>
      <c r="D3468" s="9">
        <v>44.9</v>
      </c>
      <c r="E3468" s="8">
        <v>293</v>
      </c>
    </row>
    <row r="3469" s="3" customFormat="1" ht="18.75" spans="1:5">
      <c r="A3469" s="8" t="str">
        <f t="shared" si="61"/>
        <v>250018</v>
      </c>
      <c r="B3469" s="8" t="str">
        <f>"2561404012428"</f>
        <v>2561404012428</v>
      </c>
      <c r="C3469" s="8" t="s">
        <v>10</v>
      </c>
      <c r="D3469" s="9">
        <v>44.85</v>
      </c>
      <c r="E3469" s="8">
        <v>294</v>
      </c>
    </row>
    <row r="3470" s="3" customFormat="1" ht="18.75" spans="1:5">
      <c r="A3470" s="8" t="str">
        <f t="shared" si="61"/>
        <v>250018</v>
      </c>
      <c r="B3470" s="8" t="str">
        <f>"2561404012520"</f>
        <v>2561404012520</v>
      </c>
      <c r="C3470" s="8" t="s">
        <v>10</v>
      </c>
      <c r="D3470" s="9">
        <v>44.66</v>
      </c>
      <c r="E3470" s="8">
        <v>295</v>
      </c>
    </row>
    <row r="3471" s="3" customFormat="1" ht="18.75" spans="1:5">
      <c r="A3471" s="8" t="str">
        <f t="shared" si="61"/>
        <v>250018</v>
      </c>
      <c r="B3471" s="8" t="str">
        <f>"2561404010305"</f>
        <v>2561404010305</v>
      </c>
      <c r="C3471" s="8" t="s">
        <v>10</v>
      </c>
      <c r="D3471" s="9">
        <v>44.48</v>
      </c>
      <c r="E3471" s="8">
        <v>296</v>
      </c>
    </row>
    <row r="3472" s="3" customFormat="1" ht="18.75" spans="1:5">
      <c r="A3472" s="8" t="str">
        <f t="shared" si="61"/>
        <v>250018</v>
      </c>
      <c r="B3472" s="8" t="str">
        <f>"2561404012024"</f>
        <v>2561404012024</v>
      </c>
      <c r="C3472" s="8" t="s">
        <v>10</v>
      </c>
      <c r="D3472" s="9">
        <v>44.42</v>
      </c>
      <c r="E3472" s="8">
        <v>297</v>
      </c>
    </row>
    <row r="3473" s="3" customFormat="1" ht="18.75" spans="1:5">
      <c r="A3473" s="8" t="str">
        <f t="shared" si="61"/>
        <v>250018</v>
      </c>
      <c r="B3473" s="8" t="str">
        <f>"2561404010502"</f>
        <v>2561404010502</v>
      </c>
      <c r="C3473" s="8" t="s">
        <v>10</v>
      </c>
      <c r="D3473" s="9">
        <v>43.59</v>
      </c>
      <c r="E3473" s="8">
        <v>298</v>
      </c>
    </row>
    <row r="3474" s="3" customFormat="1" ht="18.75" spans="1:5">
      <c r="A3474" s="8" t="str">
        <f t="shared" si="61"/>
        <v>250018</v>
      </c>
      <c r="B3474" s="8" t="str">
        <f>"2561404012910"</f>
        <v>2561404012910</v>
      </c>
      <c r="C3474" s="8" t="s">
        <v>10</v>
      </c>
      <c r="D3474" s="9">
        <v>43.58</v>
      </c>
      <c r="E3474" s="8">
        <v>299</v>
      </c>
    </row>
    <row r="3475" s="3" customFormat="1" ht="18.75" spans="1:5">
      <c r="A3475" s="8" t="str">
        <f t="shared" si="61"/>
        <v>250018</v>
      </c>
      <c r="B3475" s="8" t="str">
        <f>"2561404010227"</f>
        <v>2561404010227</v>
      </c>
      <c r="C3475" s="8" t="s">
        <v>10</v>
      </c>
      <c r="D3475" s="9">
        <v>42.77</v>
      </c>
      <c r="E3475" s="8">
        <v>300</v>
      </c>
    </row>
    <row r="3476" s="3" customFormat="1" ht="18.75" spans="1:5">
      <c r="A3476" s="8" t="str">
        <f t="shared" si="61"/>
        <v>250018</v>
      </c>
      <c r="B3476" s="8" t="str">
        <f>"2561404011820"</f>
        <v>2561404011820</v>
      </c>
      <c r="C3476" s="8" t="s">
        <v>10</v>
      </c>
      <c r="D3476" s="9">
        <v>42.75</v>
      </c>
      <c r="E3476" s="8">
        <v>301</v>
      </c>
    </row>
    <row r="3477" s="3" customFormat="1" ht="18.75" spans="1:5">
      <c r="A3477" s="8" t="str">
        <f t="shared" si="61"/>
        <v>250018</v>
      </c>
      <c r="B3477" s="8" t="str">
        <f>"2561404013108"</f>
        <v>2561404013108</v>
      </c>
      <c r="C3477" s="8" t="s">
        <v>10</v>
      </c>
      <c r="D3477" s="9">
        <v>42.66</v>
      </c>
      <c r="E3477" s="8">
        <v>302</v>
      </c>
    </row>
    <row r="3478" s="3" customFormat="1" ht="18.75" spans="1:5">
      <c r="A3478" s="8" t="str">
        <f t="shared" si="61"/>
        <v>250018</v>
      </c>
      <c r="B3478" s="8" t="str">
        <f>"2561404010511"</f>
        <v>2561404010511</v>
      </c>
      <c r="C3478" s="8" t="s">
        <v>10</v>
      </c>
      <c r="D3478" s="9">
        <v>42.02</v>
      </c>
      <c r="E3478" s="8">
        <v>303</v>
      </c>
    </row>
    <row r="3479" s="3" customFormat="1" ht="18.75" spans="1:5">
      <c r="A3479" s="8" t="str">
        <f t="shared" si="61"/>
        <v>250018</v>
      </c>
      <c r="B3479" s="8" t="str">
        <f>"2561404012703"</f>
        <v>2561404012703</v>
      </c>
      <c r="C3479" s="8" t="s">
        <v>10</v>
      </c>
      <c r="D3479" s="9">
        <v>39.12</v>
      </c>
      <c r="E3479" s="8">
        <v>304</v>
      </c>
    </row>
    <row r="3480" s="3" customFormat="1" ht="18.75" spans="1:5">
      <c r="A3480" s="8" t="str">
        <f t="shared" si="61"/>
        <v>250018</v>
      </c>
      <c r="B3480" s="8" t="str">
        <f>"2561404010625"</f>
        <v>2561404010625</v>
      </c>
      <c r="C3480" s="8" t="s">
        <v>10</v>
      </c>
      <c r="D3480" s="9">
        <v>38.79</v>
      </c>
      <c r="E3480" s="8">
        <v>305</v>
      </c>
    </row>
    <row r="3481" s="3" customFormat="1" ht="18.75" spans="1:5">
      <c r="A3481" s="8" t="str">
        <f t="shared" si="61"/>
        <v>250018</v>
      </c>
      <c r="B3481" s="8" t="str">
        <f>"2561404012720"</f>
        <v>2561404012720</v>
      </c>
      <c r="C3481" s="8" t="s">
        <v>10</v>
      </c>
      <c r="D3481" s="9">
        <v>38.39</v>
      </c>
      <c r="E3481" s="8">
        <v>306</v>
      </c>
    </row>
    <row r="3482" s="3" customFormat="1" ht="18.75" spans="1:5">
      <c r="A3482" s="8" t="str">
        <f t="shared" si="61"/>
        <v>250018</v>
      </c>
      <c r="B3482" s="8" t="str">
        <f>"2561404012913"</f>
        <v>2561404012913</v>
      </c>
      <c r="C3482" s="8" t="s">
        <v>10</v>
      </c>
      <c r="D3482" s="9">
        <v>36.24</v>
      </c>
      <c r="E3482" s="8">
        <v>307</v>
      </c>
    </row>
    <row r="3483" s="3" customFormat="1" ht="18.75" spans="1:5">
      <c r="A3483" s="8" t="str">
        <f t="shared" si="61"/>
        <v>250018</v>
      </c>
      <c r="B3483" s="8" t="str">
        <f>"2561404011307"</f>
        <v>2561404011307</v>
      </c>
      <c r="C3483" s="8" t="s">
        <v>10</v>
      </c>
      <c r="D3483" s="9">
        <v>35.8</v>
      </c>
      <c r="E3483" s="8">
        <v>308</v>
      </c>
    </row>
    <row r="3484" s="3" customFormat="1" ht="18.75" spans="1:5">
      <c r="A3484" s="8" t="str">
        <f t="shared" si="61"/>
        <v>250018</v>
      </c>
      <c r="B3484" s="8" t="str">
        <f>"2561404012621"</f>
        <v>2561404012621</v>
      </c>
      <c r="C3484" s="8" t="s">
        <v>10</v>
      </c>
      <c r="D3484" s="9">
        <v>34.58</v>
      </c>
      <c r="E3484" s="8">
        <v>309</v>
      </c>
    </row>
    <row r="3485" s="3" customFormat="1" ht="18.75" spans="1:5">
      <c r="A3485" s="8" t="str">
        <f t="shared" si="61"/>
        <v>250018</v>
      </c>
      <c r="B3485" s="8" t="str">
        <f>"2561404010322"</f>
        <v>2561404010322</v>
      </c>
      <c r="C3485" s="8" t="s">
        <v>10</v>
      </c>
      <c r="D3485" s="9">
        <v>33.07</v>
      </c>
      <c r="E3485" s="8">
        <v>310</v>
      </c>
    </row>
    <row r="3486" s="3" customFormat="1" ht="18.75" spans="1:5">
      <c r="A3486" s="8" t="str">
        <f t="shared" si="61"/>
        <v>250018</v>
      </c>
      <c r="B3486" s="8" t="str">
        <f>"2561404010519"</f>
        <v>2561404010519</v>
      </c>
      <c r="C3486" s="8" t="s">
        <v>10</v>
      </c>
      <c r="D3486" s="9">
        <v>31.36</v>
      </c>
      <c r="E3486" s="8">
        <v>311</v>
      </c>
    </row>
    <row r="3487" s="3" customFormat="1" ht="18.75" spans="1:5">
      <c r="A3487" s="8" t="str">
        <f t="shared" si="61"/>
        <v>250018</v>
      </c>
      <c r="B3487" s="8" t="str">
        <f>"2561404011923"</f>
        <v>2561404011923</v>
      </c>
      <c r="C3487" s="8" t="s">
        <v>10</v>
      </c>
      <c r="D3487" s="9">
        <v>30.37</v>
      </c>
      <c r="E3487" s="8">
        <v>312</v>
      </c>
    </row>
    <row r="3488" s="3" customFormat="1" ht="18.75" spans="1:5">
      <c r="A3488" s="8" t="str">
        <f t="shared" si="61"/>
        <v>250018</v>
      </c>
      <c r="B3488" s="8" t="str">
        <f>"2561404012617"</f>
        <v>2561404012617</v>
      </c>
      <c r="C3488" s="8" t="s">
        <v>10</v>
      </c>
      <c r="D3488" s="9">
        <v>30.32</v>
      </c>
      <c r="E3488" s="8">
        <v>313</v>
      </c>
    </row>
    <row r="3489" s="3" customFormat="1" ht="18.75" spans="1:5">
      <c r="A3489" s="8" t="str">
        <f t="shared" si="61"/>
        <v>250018</v>
      </c>
      <c r="B3489" s="8" t="str">
        <f>"2561404010802"</f>
        <v>2561404010802</v>
      </c>
      <c r="C3489" s="8" t="s">
        <v>10</v>
      </c>
      <c r="D3489" s="9">
        <v>28.28</v>
      </c>
      <c r="E3489" s="8">
        <v>314</v>
      </c>
    </row>
    <row r="3490" s="3" customFormat="1" ht="18.75" spans="1:5">
      <c r="A3490" s="8" t="str">
        <f t="shared" si="61"/>
        <v>250018</v>
      </c>
      <c r="B3490" s="8" t="str">
        <f>"2561404012320"</f>
        <v>2561404012320</v>
      </c>
      <c r="C3490" s="8" t="s">
        <v>10</v>
      </c>
      <c r="D3490" s="9">
        <v>26.96</v>
      </c>
      <c r="E3490" s="8">
        <v>315</v>
      </c>
    </row>
    <row r="3491" s="3" customFormat="1" ht="18.75" spans="1:5">
      <c r="A3491" s="8" t="str">
        <f t="shared" si="61"/>
        <v>250018</v>
      </c>
      <c r="B3491" s="8" t="str">
        <f>"2561404012801"</f>
        <v>2561404012801</v>
      </c>
      <c r="C3491" s="8" t="s">
        <v>10</v>
      </c>
      <c r="D3491" s="9">
        <v>26.58</v>
      </c>
      <c r="E3491" s="8">
        <v>316</v>
      </c>
    </row>
    <row r="3492" s="3" customFormat="1" ht="18.75" spans="1:5">
      <c r="A3492" s="8" t="str">
        <f t="shared" si="61"/>
        <v>250018</v>
      </c>
      <c r="B3492" s="8" t="str">
        <f>"2561404011807"</f>
        <v>2561404011807</v>
      </c>
      <c r="C3492" s="8" t="s">
        <v>10</v>
      </c>
      <c r="D3492" s="9">
        <v>20.96</v>
      </c>
      <c r="E3492" s="8">
        <v>317</v>
      </c>
    </row>
    <row r="3493" s="3" customFormat="1" ht="18.75" spans="1:5">
      <c r="A3493" s="8" t="str">
        <f t="shared" si="61"/>
        <v>250018</v>
      </c>
      <c r="B3493" s="8" t="str">
        <f>"2561404010102"</f>
        <v>2561404010102</v>
      </c>
      <c r="C3493" s="8" t="s">
        <v>10</v>
      </c>
      <c r="D3493" s="9">
        <v>0</v>
      </c>
      <c r="E3493" s="8">
        <v>318</v>
      </c>
    </row>
    <row r="3494" s="3" customFormat="1" ht="18.75" spans="1:5">
      <c r="A3494" s="8" t="str">
        <f t="shared" si="61"/>
        <v>250018</v>
      </c>
      <c r="B3494" s="8" t="str">
        <f>"2561404010103"</f>
        <v>2561404010103</v>
      </c>
      <c r="C3494" s="8" t="s">
        <v>10</v>
      </c>
      <c r="D3494" s="9">
        <v>0</v>
      </c>
      <c r="E3494" s="8">
        <v>318</v>
      </c>
    </row>
    <row r="3495" s="3" customFormat="1" ht="18.75" spans="1:5">
      <c r="A3495" s="8" t="str">
        <f t="shared" si="61"/>
        <v>250018</v>
      </c>
      <c r="B3495" s="8" t="str">
        <f>"2561404010105"</f>
        <v>2561404010105</v>
      </c>
      <c r="C3495" s="8" t="s">
        <v>10</v>
      </c>
      <c r="D3495" s="9">
        <v>0</v>
      </c>
      <c r="E3495" s="8">
        <v>318</v>
      </c>
    </row>
    <row r="3496" s="3" customFormat="1" ht="18.75" spans="1:5">
      <c r="A3496" s="8" t="str">
        <f t="shared" ref="A3496:A3559" si="62">"250018"</f>
        <v>250018</v>
      </c>
      <c r="B3496" s="8" t="str">
        <f>"2561404010107"</f>
        <v>2561404010107</v>
      </c>
      <c r="C3496" s="8" t="s">
        <v>10</v>
      </c>
      <c r="D3496" s="9">
        <v>0</v>
      </c>
      <c r="E3496" s="8">
        <v>318</v>
      </c>
    </row>
    <row r="3497" s="3" customFormat="1" ht="18.75" spans="1:5">
      <c r="A3497" s="8" t="str">
        <f t="shared" si="62"/>
        <v>250018</v>
      </c>
      <c r="B3497" s="8" t="str">
        <f>"2561404010108"</f>
        <v>2561404010108</v>
      </c>
      <c r="C3497" s="8" t="s">
        <v>10</v>
      </c>
      <c r="D3497" s="9">
        <v>0</v>
      </c>
      <c r="E3497" s="8">
        <v>318</v>
      </c>
    </row>
    <row r="3498" s="3" customFormat="1" ht="18.75" spans="1:5">
      <c r="A3498" s="8" t="str">
        <f t="shared" si="62"/>
        <v>250018</v>
      </c>
      <c r="B3498" s="8" t="str">
        <f>"2561404010109"</f>
        <v>2561404010109</v>
      </c>
      <c r="C3498" s="8" t="s">
        <v>10</v>
      </c>
      <c r="D3498" s="9">
        <v>0</v>
      </c>
      <c r="E3498" s="8">
        <v>318</v>
      </c>
    </row>
    <row r="3499" s="3" customFormat="1" ht="18.75" spans="1:5">
      <c r="A3499" s="8" t="str">
        <f t="shared" si="62"/>
        <v>250018</v>
      </c>
      <c r="B3499" s="8" t="str">
        <f>"2561404010110"</f>
        <v>2561404010110</v>
      </c>
      <c r="C3499" s="8" t="s">
        <v>10</v>
      </c>
      <c r="D3499" s="9">
        <v>0</v>
      </c>
      <c r="E3499" s="8">
        <v>318</v>
      </c>
    </row>
    <row r="3500" s="3" customFormat="1" ht="18.75" spans="1:5">
      <c r="A3500" s="8" t="str">
        <f t="shared" si="62"/>
        <v>250018</v>
      </c>
      <c r="B3500" s="8" t="str">
        <f>"2561404010111"</f>
        <v>2561404010111</v>
      </c>
      <c r="C3500" s="8" t="s">
        <v>10</v>
      </c>
      <c r="D3500" s="9">
        <v>0</v>
      </c>
      <c r="E3500" s="8">
        <v>318</v>
      </c>
    </row>
    <row r="3501" s="3" customFormat="1" ht="18.75" spans="1:5">
      <c r="A3501" s="8" t="str">
        <f t="shared" si="62"/>
        <v>250018</v>
      </c>
      <c r="B3501" s="8" t="str">
        <f>"2561404010112"</f>
        <v>2561404010112</v>
      </c>
      <c r="C3501" s="8" t="s">
        <v>10</v>
      </c>
      <c r="D3501" s="9">
        <v>0</v>
      </c>
      <c r="E3501" s="8">
        <v>318</v>
      </c>
    </row>
    <row r="3502" s="3" customFormat="1" ht="18.75" spans="1:5">
      <c r="A3502" s="8" t="str">
        <f t="shared" si="62"/>
        <v>250018</v>
      </c>
      <c r="B3502" s="8" t="str">
        <f>"2561404010113"</f>
        <v>2561404010113</v>
      </c>
      <c r="C3502" s="8" t="s">
        <v>10</v>
      </c>
      <c r="D3502" s="9">
        <v>0</v>
      </c>
      <c r="E3502" s="8">
        <v>318</v>
      </c>
    </row>
    <row r="3503" s="3" customFormat="1" ht="18.75" spans="1:5">
      <c r="A3503" s="8" t="str">
        <f t="shared" si="62"/>
        <v>250018</v>
      </c>
      <c r="B3503" s="8" t="str">
        <f>"2561404010115"</f>
        <v>2561404010115</v>
      </c>
      <c r="C3503" s="8" t="s">
        <v>10</v>
      </c>
      <c r="D3503" s="9">
        <v>0</v>
      </c>
      <c r="E3503" s="8">
        <v>318</v>
      </c>
    </row>
    <row r="3504" s="3" customFormat="1" ht="18.75" spans="1:5">
      <c r="A3504" s="8" t="str">
        <f t="shared" si="62"/>
        <v>250018</v>
      </c>
      <c r="B3504" s="8" t="str">
        <f>"2561404010116"</f>
        <v>2561404010116</v>
      </c>
      <c r="C3504" s="8" t="s">
        <v>10</v>
      </c>
      <c r="D3504" s="9">
        <v>0</v>
      </c>
      <c r="E3504" s="8">
        <v>318</v>
      </c>
    </row>
    <row r="3505" s="3" customFormat="1" ht="18.75" spans="1:5">
      <c r="A3505" s="8" t="str">
        <f t="shared" si="62"/>
        <v>250018</v>
      </c>
      <c r="B3505" s="8" t="str">
        <f>"2561404010118"</f>
        <v>2561404010118</v>
      </c>
      <c r="C3505" s="8" t="s">
        <v>10</v>
      </c>
      <c r="D3505" s="9">
        <v>0</v>
      </c>
      <c r="E3505" s="8">
        <v>318</v>
      </c>
    </row>
    <row r="3506" s="3" customFormat="1" ht="18.75" spans="1:5">
      <c r="A3506" s="8" t="str">
        <f t="shared" si="62"/>
        <v>250018</v>
      </c>
      <c r="B3506" s="8" t="str">
        <f>"2561404010119"</f>
        <v>2561404010119</v>
      </c>
      <c r="C3506" s="8" t="s">
        <v>10</v>
      </c>
      <c r="D3506" s="9">
        <v>0</v>
      </c>
      <c r="E3506" s="8">
        <v>318</v>
      </c>
    </row>
    <row r="3507" s="3" customFormat="1" ht="18.75" spans="1:5">
      <c r="A3507" s="8" t="str">
        <f t="shared" si="62"/>
        <v>250018</v>
      </c>
      <c r="B3507" s="8" t="str">
        <f>"2561404010120"</f>
        <v>2561404010120</v>
      </c>
      <c r="C3507" s="8" t="s">
        <v>10</v>
      </c>
      <c r="D3507" s="9">
        <v>0</v>
      </c>
      <c r="E3507" s="8">
        <v>318</v>
      </c>
    </row>
    <row r="3508" s="3" customFormat="1" ht="18.75" spans="1:5">
      <c r="A3508" s="8" t="str">
        <f t="shared" si="62"/>
        <v>250018</v>
      </c>
      <c r="B3508" s="8" t="str">
        <f>"2561404010124"</f>
        <v>2561404010124</v>
      </c>
      <c r="C3508" s="8" t="s">
        <v>10</v>
      </c>
      <c r="D3508" s="9">
        <v>0</v>
      </c>
      <c r="E3508" s="8">
        <v>318</v>
      </c>
    </row>
    <row r="3509" s="3" customFormat="1" ht="18.75" spans="1:5">
      <c r="A3509" s="8" t="str">
        <f t="shared" si="62"/>
        <v>250018</v>
      </c>
      <c r="B3509" s="8" t="str">
        <f>"2561404010125"</f>
        <v>2561404010125</v>
      </c>
      <c r="C3509" s="8" t="s">
        <v>10</v>
      </c>
      <c r="D3509" s="9">
        <v>0</v>
      </c>
      <c r="E3509" s="8">
        <v>318</v>
      </c>
    </row>
    <row r="3510" s="3" customFormat="1" ht="18.75" spans="1:5">
      <c r="A3510" s="8" t="str">
        <f t="shared" si="62"/>
        <v>250018</v>
      </c>
      <c r="B3510" s="8" t="str">
        <f>"2561404010126"</f>
        <v>2561404010126</v>
      </c>
      <c r="C3510" s="8" t="s">
        <v>10</v>
      </c>
      <c r="D3510" s="9">
        <v>0</v>
      </c>
      <c r="E3510" s="8">
        <v>318</v>
      </c>
    </row>
    <row r="3511" s="3" customFormat="1" ht="18.75" spans="1:5">
      <c r="A3511" s="8" t="str">
        <f t="shared" si="62"/>
        <v>250018</v>
      </c>
      <c r="B3511" s="8" t="str">
        <f>"2561404010127"</f>
        <v>2561404010127</v>
      </c>
      <c r="C3511" s="8" t="s">
        <v>10</v>
      </c>
      <c r="D3511" s="9">
        <v>0</v>
      </c>
      <c r="E3511" s="8">
        <v>318</v>
      </c>
    </row>
    <row r="3512" s="3" customFormat="1" ht="18.75" spans="1:5">
      <c r="A3512" s="8" t="str">
        <f t="shared" si="62"/>
        <v>250018</v>
      </c>
      <c r="B3512" s="8" t="str">
        <f>"2561404010201"</f>
        <v>2561404010201</v>
      </c>
      <c r="C3512" s="8" t="s">
        <v>10</v>
      </c>
      <c r="D3512" s="9">
        <v>0</v>
      </c>
      <c r="E3512" s="8">
        <v>318</v>
      </c>
    </row>
    <row r="3513" s="3" customFormat="1" ht="18.75" spans="1:5">
      <c r="A3513" s="8" t="str">
        <f t="shared" si="62"/>
        <v>250018</v>
      </c>
      <c r="B3513" s="8" t="str">
        <f>"2561404010203"</f>
        <v>2561404010203</v>
      </c>
      <c r="C3513" s="8" t="s">
        <v>10</v>
      </c>
      <c r="D3513" s="9">
        <v>0</v>
      </c>
      <c r="E3513" s="8">
        <v>318</v>
      </c>
    </row>
    <row r="3514" s="3" customFormat="1" ht="18.75" spans="1:5">
      <c r="A3514" s="8" t="str">
        <f t="shared" si="62"/>
        <v>250018</v>
      </c>
      <c r="B3514" s="8" t="str">
        <f>"2561404010205"</f>
        <v>2561404010205</v>
      </c>
      <c r="C3514" s="8" t="s">
        <v>10</v>
      </c>
      <c r="D3514" s="9">
        <v>0</v>
      </c>
      <c r="E3514" s="8">
        <v>318</v>
      </c>
    </row>
    <row r="3515" s="3" customFormat="1" ht="18.75" spans="1:5">
      <c r="A3515" s="8" t="str">
        <f t="shared" si="62"/>
        <v>250018</v>
      </c>
      <c r="B3515" s="8" t="str">
        <f>"2561404010208"</f>
        <v>2561404010208</v>
      </c>
      <c r="C3515" s="8" t="s">
        <v>10</v>
      </c>
      <c r="D3515" s="9">
        <v>0</v>
      </c>
      <c r="E3515" s="8">
        <v>318</v>
      </c>
    </row>
    <row r="3516" s="3" customFormat="1" ht="18.75" spans="1:5">
      <c r="A3516" s="8" t="str">
        <f t="shared" si="62"/>
        <v>250018</v>
      </c>
      <c r="B3516" s="8" t="str">
        <f>"2561404010210"</f>
        <v>2561404010210</v>
      </c>
      <c r="C3516" s="8" t="s">
        <v>10</v>
      </c>
      <c r="D3516" s="9">
        <v>0</v>
      </c>
      <c r="E3516" s="8">
        <v>318</v>
      </c>
    </row>
    <row r="3517" s="3" customFormat="1" ht="18.75" spans="1:5">
      <c r="A3517" s="8" t="str">
        <f t="shared" si="62"/>
        <v>250018</v>
      </c>
      <c r="B3517" s="8" t="str">
        <f>"2561404010211"</f>
        <v>2561404010211</v>
      </c>
      <c r="C3517" s="8" t="s">
        <v>10</v>
      </c>
      <c r="D3517" s="9">
        <v>0</v>
      </c>
      <c r="E3517" s="8">
        <v>318</v>
      </c>
    </row>
    <row r="3518" s="3" customFormat="1" ht="18.75" spans="1:5">
      <c r="A3518" s="8" t="str">
        <f t="shared" si="62"/>
        <v>250018</v>
      </c>
      <c r="B3518" s="8" t="str">
        <f>"2561404010212"</f>
        <v>2561404010212</v>
      </c>
      <c r="C3518" s="8" t="s">
        <v>10</v>
      </c>
      <c r="D3518" s="9">
        <v>0</v>
      </c>
      <c r="E3518" s="8">
        <v>318</v>
      </c>
    </row>
    <row r="3519" s="3" customFormat="1" ht="18.75" spans="1:5">
      <c r="A3519" s="8" t="str">
        <f t="shared" si="62"/>
        <v>250018</v>
      </c>
      <c r="B3519" s="8" t="str">
        <f>"2561404010213"</f>
        <v>2561404010213</v>
      </c>
      <c r="C3519" s="8" t="s">
        <v>10</v>
      </c>
      <c r="D3519" s="9">
        <v>0</v>
      </c>
      <c r="E3519" s="8">
        <v>318</v>
      </c>
    </row>
    <row r="3520" s="3" customFormat="1" ht="18.75" spans="1:5">
      <c r="A3520" s="8" t="str">
        <f t="shared" si="62"/>
        <v>250018</v>
      </c>
      <c r="B3520" s="8" t="str">
        <f>"2561404010215"</f>
        <v>2561404010215</v>
      </c>
      <c r="C3520" s="8" t="s">
        <v>10</v>
      </c>
      <c r="D3520" s="9">
        <v>0</v>
      </c>
      <c r="E3520" s="8">
        <v>318</v>
      </c>
    </row>
    <row r="3521" s="3" customFormat="1" ht="18.75" spans="1:5">
      <c r="A3521" s="8" t="str">
        <f t="shared" si="62"/>
        <v>250018</v>
      </c>
      <c r="B3521" s="8" t="str">
        <f>"2561404010216"</f>
        <v>2561404010216</v>
      </c>
      <c r="C3521" s="8" t="s">
        <v>10</v>
      </c>
      <c r="D3521" s="9">
        <v>0</v>
      </c>
      <c r="E3521" s="8">
        <v>318</v>
      </c>
    </row>
    <row r="3522" s="3" customFormat="1" ht="18.75" spans="1:5">
      <c r="A3522" s="8" t="str">
        <f t="shared" si="62"/>
        <v>250018</v>
      </c>
      <c r="B3522" s="8" t="str">
        <f>"2561404010217"</f>
        <v>2561404010217</v>
      </c>
      <c r="C3522" s="8" t="s">
        <v>10</v>
      </c>
      <c r="D3522" s="9">
        <v>0</v>
      </c>
      <c r="E3522" s="8">
        <v>318</v>
      </c>
    </row>
    <row r="3523" s="3" customFormat="1" ht="18.75" spans="1:5">
      <c r="A3523" s="8" t="str">
        <f t="shared" si="62"/>
        <v>250018</v>
      </c>
      <c r="B3523" s="8" t="str">
        <f>"2561404010218"</f>
        <v>2561404010218</v>
      </c>
      <c r="C3523" s="8" t="s">
        <v>10</v>
      </c>
      <c r="D3523" s="9">
        <v>0</v>
      </c>
      <c r="E3523" s="8">
        <v>318</v>
      </c>
    </row>
    <row r="3524" s="3" customFormat="1" ht="18.75" spans="1:5">
      <c r="A3524" s="8" t="str">
        <f t="shared" si="62"/>
        <v>250018</v>
      </c>
      <c r="B3524" s="8" t="str">
        <f>"2561404010219"</f>
        <v>2561404010219</v>
      </c>
      <c r="C3524" s="8" t="s">
        <v>10</v>
      </c>
      <c r="D3524" s="9">
        <v>0</v>
      </c>
      <c r="E3524" s="8">
        <v>318</v>
      </c>
    </row>
    <row r="3525" s="3" customFormat="1" ht="18.75" spans="1:5">
      <c r="A3525" s="8" t="str">
        <f t="shared" si="62"/>
        <v>250018</v>
      </c>
      <c r="B3525" s="8" t="str">
        <f>"2561404010220"</f>
        <v>2561404010220</v>
      </c>
      <c r="C3525" s="8" t="s">
        <v>10</v>
      </c>
      <c r="D3525" s="9">
        <v>0</v>
      </c>
      <c r="E3525" s="8">
        <v>318</v>
      </c>
    </row>
    <row r="3526" s="3" customFormat="1" ht="18.75" spans="1:5">
      <c r="A3526" s="8" t="str">
        <f t="shared" si="62"/>
        <v>250018</v>
      </c>
      <c r="B3526" s="8" t="str">
        <f>"2561404010222"</f>
        <v>2561404010222</v>
      </c>
      <c r="C3526" s="8" t="s">
        <v>10</v>
      </c>
      <c r="D3526" s="9">
        <v>0</v>
      </c>
      <c r="E3526" s="8">
        <v>318</v>
      </c>
    </row>
    <row r="3527" s="3" customFormat="1" ht="18.75" spans="1:5">
      <c r="A3527" s="8" t="str">
        <f t="shared" si="62"/>
        <v>250018</v>
      </c>
      <c r="B3527" s="8" t="str">
        <f>"2561404010223"</f>
        <v>2561404010223</v>
      </c>
      <c r="C3527" s="8" t="s">
        <v>10</v>
      </c>
      <c r="D3527" s="9">
        <v>0</v>
      </c>
      <c r="E3527" s="8">
        <v>318</v>
      </c>
    </row>
    <row r="3528" s="3" customFormat="1" ht="18.75" spans="1:5">
      <c r="A3528" s="8" t="str">
        <f t="shared" si="62"/>
        <v>250018</v>
      </c>
      <c r="B3528" s="8" t="str">
        <f>"2561404010225"</f>
        <v>2561404010225</v>
      </c>
      <c r="C3528" s="8" t="s">
        <v>10</v>
      </c>
      <c r="D3528" s="9">
        <v>0</v>
      </c>
      <c r="E3528" s="8">
        <v>318</v>
      </c>
    </row>
    <row r="3529" s="3" customFormat="1" ht="18.75" spans="1:5">
      <c r="A3529" s="8" t="str">
        <f t="shared" si="62"/>
        <v>250018</v>
      </c>
      <c r="B3529" s="8" t="str">
        <f>"2561404010226"</f>
        <v>2561404010226</v>
      </c>
      <c r="C3529" s="8" t="s">
        <v>10</v>
      </c>
      <c r="D3529" s="9">
        <v>0</v>
      </c>
      <c r="E3529" s="8">
        <v>318</v>
      </c>
    </row>
    <row r="3530" s="3" customFormat="1" ht="18.75" spans="1:5">
      <c r="A3530" s="8" t="str">
        <f t="shared" si="62"/>
        <v>250018</v>
      </c>
      <c r="B3530" s="8" t="str">
        <f>"2561404010228"</f>
        <v>2561404010228</v>
      </c>
      <c r="C3530" s="8" t="s">
        <v>10</v>
      </c>
      <c r="D3530" s="9">
        <v>0</v>
      </c>
      <c r="E3530" s="8">
        <v>318</v>
      </c>
    </row>
    <row r="3531" s="3" customFormat="1" ht="18.75" spans="1:5">
      <c r="A3531" s="8" t="str">
        <f t="shared" si="62"/>
        <v>250018</v>
      </c>
      <c r="B3531" s="8" t="str">
        <f>"2561404010229"</f>
        <v>2561404010229</v>
      </c>
      <c r="C3531" s="8" t="s">
        <v>10</v>
      </c>
      <c r="D3531" s="9">
        <v>0</v>
      </c>
      <c r="E3531" s="8">
        <v>318</v>
      </c>
    </row>
    <row r="3532" s="3" customFormat="1" ht="18.75" spans="1:5">
      <c r="A3532" s="8" t="str">
        <f t="shared" si="62"/>
        <v>250018</v>
      </c>
      <c r="B3532" s="8" t="str">
        <f>"2561404010302"</f>
        <v>2561404010302</v>
      </c>
      <c r="C3532" s="8" t="s">
        <v>10</v>
      </c>
      <c r="D3532" s="9">
        <v>0</v>
      </c>
      <c r="E3532" s="8">
        <v>318</v>
      </c>
    </row>
    <row r="3533" s="3" customFormat="1" ht="18.75" spans="1:5">
      <c r="A3533" s="8" t="str">
        <f t="shared" si="62"/>
        <v>250018</v>
      </c>
      <c r="B3533" s="8" t="str">
        <f>"2561404010304"</f>
        <v>2561404010304</v>
      </c>
      <c r="C3533" s="8" t="s">
        <v>10</v>
      </c>
      <c r="D3533" s="9">
        <v>0</v>
      </c>
      <c r="E3533" s="8">
        <v>318</v>
      </c>
    </row>
    <row r="3534" s="3" customFormat="1" ht="18.75" spans="1:5">
      <c r="A3534" s="8" t="str">
        <f t="shared" si="62"/>
        <v>250018</v>
      </c>
      <c r="B3534" s="8" t="str">
        <f>"2561404010311"</f>
        <v>2561404010311</v>
      </c>
      <c r="C3534" s="8" t="s">
        <v>10</v>
      </c>
      <c r="D3534" s="9">
        <v>0</v>
      </c>
      <c r="E3534" s="8">
        <v>318</v>
      </c>
    </row>
    <row r="3535" s="3" customFormat="1" ht="18.75" spans="1:5">
      <c r="A3535" s="8" t="str">
        <f t="shared" si="62"/>
        <v>250018</v>
      </c>
      <c r="B3535" s="8" t="str">
        <f>"2561404010313"</f>
        <v>2561404010313</v>
      </c>
      <c r="C3535" s="8" t="s">
        <v>10</v>
      </c>
      <c r="D3535" s="9">
        <v>0</v>
      </c>
      <c r="E3535" s="8">
        <v>318</v>
      </c>
    </row>
    <row r="3536" s="3" customFormat="1" ht="18.75" spans="1:5">
      <c r="A3536" s="8" t="str">
        <f t="shared" si="62"/>
        <v>250018</v>
      </c>
      <c r="B3536" s="8" t="str">
        <f>"2561404010314"</f>
        <v>2561404010314</v>
      </c>
      <c r="C3536" s="8" t="s">
        <v>10</v>
      </c>
      <c r="D3536" s="9">
        <v>0</v>
      </c>
      <c r="E3536" s="8">
        <v>318</v>
      </c>
    </row>
    <row r="3537" s="3" customFormat="1" ht="18.75" spans="1:5">
      <c r="A3537" s="8" t="str">
        <f t="shared" si="62"/>
        <v>250018</v>
      </c>
      <c r="B3537" s="8" t="str">
        <f>"2561404010315"</f>
        <v>2561404010315</v>
      </c>
      <c r="C3537" s="8" t="s">
        <v>10</v>
      </c>
      <c r="D3537" s="9">
        <v>0</v>
      </c>
      <c r="E3537" s="8">
        <v>318</v>
      </c>
    </row>
    <row r="3538" s="3" customFormat="1" ht="18.75" spans="1:5">
      <c r="A3538" s="8" t="str">
        <f t="shared" si="62"/>
        <v>250018</v>
      </c>
      <c r="B3538" s="8" t="str">
        <f>"2561404010316"</f>
        <v>2561404010316</v>
      </c>
      <c r="C3538" s="8" t="s">
        <v>10</v>
      </c>
      <c r="D3538" s="9">
        <v>0</v>
      </c>
      <c r="E3538" s="8">
        <v>318</v>
      </c>
    </row>
    <row r="3539" s="3" customFormat="1" ht="18.75" spans="1:5">
      <c r="A3539" s="8" t="str">
        <f t="shared" si="62"/>
        <v>250018</v>
      </c>
      <c r="B3539" s="8" t="str">
        <f>"2561404010317"</f>
        <v>2561404010317</v>
      </c>
      <c r="C3539" s="8" t="s">
        <v>10</v>
      </c>
      <c r="D3539" s="9">
        <v>0</v>
      </c>
      <c r="E3539" s="8">
        <v>318</v>
      </c>
    </row>
    <row r="3540" s="3" customFormat="1" ht="18.75" spans="1:5">
      <c r="A3540" s="8" t="str">
        <f t="shared" si="62"/>
        <v>250018</v>
      </c>
      <c r="B3540" s="8" t="str">
        <f>"2561404010319"</f>
        <v>2561404010319</v>
      </c>
      <c r="C3540" s="8" t="s">
        <v>10</v>
      </c>
      <c r="D3540" s="9">
        <v>0</v>
      </c>
      <c r="E3540" s="8">
        <v>318</v>
      </c>
    </row>
    <row r="3541" s="3" customFormat="1" ht="18.75" spans="1:5">
      <c r="A3541" s="8" t="str">
        <f t="shared" si="62"/>
        <v>250018</v>
      </c>
      <c r="B3541" s="8" t="str">
        <f>"2561404010321"</f>
        <v>2561404010321</v>
      </c>
      <c r="C3541" s="8" t="s">
        <v>10</v>
      </c>
      <c r="D3541" s="9">
        <v>0</v>
      </c>
      <c r="E3541" s="8">
        <v>318</v>
      </c>
    </row>
    <row r="3542" s="3" customFormat="1" ht="18.75" spans="1:5">
      <c r="A3542" s="8" t="str">
        <f t="shared" si="62"/>
        <v>250018</v>
      </c>
      <c r="B3542" s="8" t="str">
        <f>"2561404010325"</f>
        <v>2561404010325</v>
      </c>
      <c r="C3542" s="8" t="s">
        <v>10</v>
      </c>
      <c r="D3542" s="9">
        <v>0</v>
      </c>
      <c r="E3542" s="8">
        <v>318</v>
      </c>
    </row>
    <row r="3543" s="3" customFormat="1" ht="18.75" spans="1:5">
      <c r="A3543" s="8" t="str">
        <f t="shared" si="62"/>
        <v>250018</v>
      </c>
      <c r="B3543" s="8" t="str">
        <f>"2561404010326"</f>
        <v>2561404010326</v>
      </c>
      <c r="C3543" s="8" t="s">
        <v>10</v>
      </c>
      <c r="D3543" s="9">
        <v>0</v>
      </c>
      <c r="E3543" s="8">
        <v>318</v>
      </c>
    </row>
    <row r="3544" s="3" customFormat="1" ht="18.75" spans="1:5">
      <c r="A3544" s="8" t="str">
        <f t="shared" si="62"/>
        <v>250018</v>
      </c>
      <c r="B3544" s="8" t="str">
        <f>"2561404010328"</f>
        <v>2561404010328</v>
      </c>
      <c r="C3544" s="8" t="s">
        <v>10</v>
      </c>
      <c r="D3544" s="9">
        <v>0</v>
      </c>
      <c r="E3544" s="8">
        <v>318</v>
      </c>
    </row>
    <row r="3545" s="3" customFormat="1" ht="18.75" spans="1:5">
      <c r="A3545" s="8" t="str">
        <f t="shared" si="62"/>
        <v>250018</v>
      </c>
      <c r="B3545" s="8" t="str">
        <f>"2561404010329"</f>
        <v>2561404010329</v>
      </c>
      <c r="C3545" s="8" t="s">
        <v>10</v>
      </c>
      <c r="D3545" s="9">
        <v>0</v>
      </c>
      <c r="E3545" s="8">
        <v>318</v>
      </c>
    </row>
    <row r="3546" s="3" customFormat="1" ht="18.75" spans="1:5">
      <c r="A3546" s="8" t="str">
        <f t="shared" si="62"/>
        <v>250018</v>
      </c>
      <c r="B3546" s="8" t="str">
        <f>"2561404010402"</f>
        <v>2561404010402</v>
      </c>
      <c r="C3546" s="8" t="s">
        <v>10</v>
      </c>
      <c r="D3546" s="9">
        <v>0</v>
      </c>
      <c r="E3546" s="8">
        <v>318</v>
      </c>
    </row>
    <row r="3547" s="3" customFormat="1" ht="18.75" spans="1:5">
      <c r="A3547" s="8" t="str">
        <f t="shared" si="62"/>
        <v>250018</v>
      </c>
      <c r="B3547" s="8" t="str">
        <f>"2561404010404"</f>
        <v>2561404010404</v>
      </c>
      <c r="C3547" s="8" t="s">
        <v>10</v>
      </c>
      <c r="D3547" s="9">
        <v>0</v>
      </c>
      <c r="E3547" s="8">
        <v>318</v>
      </c>
    </row>
    <row r="3548" s="3" customFormat="1" ht="18.75" spans="1:5">
      <c r="A3548" s="8" t="str">
        <f t="shared" si="62"/>
        <v>250018</v>
      </c>
      <c r="B3548" s="8" t="str">
        <f>"2561404010405"</f>
        <v>2561404010405</v>
      </c>
      <c r="C3548" s="8" t="s">
        <v>10</v>
      </c>
      <c r="D3548" s="9">
        <v>0</v>
      </c>
      <c r="E3548" s="8">
        <v>318</v>
      </c>
    </row>
    <row r="3549" s="3" customFormat="1" ht="18.75" spans="1:5">
      <c r="A3549" s="8" t="str">
        <f t="shared" si="62"/>
        <v>250018</v>
      </c>
      <c r="B3549" s="8" t="str">
        <f>"2561404010406"</f>
        <v>2561404010406</v>
      </c>
      <c r="C3549" s="8" t="s">
        <v>10</v>
      </c>
      <c r="D3549" s="9">
        <v>0</v>
      </c>
      <c r="E3549" s="8">
        <v>318</v>
      </c>
    </row>
    <row r="3550" s="3" customFormat="1" ht="18.75" spans="1:5">
      <c r="A3550" s="8" t="str">
        <f t="shared" si="62"/>
        <v>250018</v>
      </c>
      <c r="B3550" s="8" t="str">
        <f>"2561404010407"</f>
        <v>2561404010407</v>
      </c>
      <c r="C3550" s="8" t="s">
        <v>10</v>
      </c>
      <c r="D3550" s="9">
        <v>0</v>
      </c>
      <c r="E3550" s="8">
        <v>318</v>
      </c>
    </row>
    <row r="3551" s="3" customFormat="1" ht="18.75" spans="1:5">
      <c r="A3551" s="8" t="str">
        <f t="shared" si="62"/>
        <v>250018</v>
      </c>
      <c r="B3551" s="8" t="str">
        <f>"2561404010408"</f>
        <v>2561404010408</v>
      </c>
      <c r="C3551" s="8" t="s">
        <v>10</v>
      </c>
      <c r="D3551" s="9">
        <v>0</v>
      </c>
      <c r="E3551" s="8">
        <v>318</v>
      </c>
    </row>
    <row r="3552" s="3" customFormat="1" ht="18.75" spans="1:5">
      <c r="A3552" s="8" t="str">
        <f t="shared" si="62"/>
        <v>250018</v>
      </c>
      <c r="B3552" s="8" t="str">
        <f>"2561404010410"</f>
        <v>2561404010410</v>
      </c>
      <c r="C3552" s="8" t="s">
        <v>10</v>
      </c>
      <c r="D3552" s="9">
        <v>0</v>
      </c>
      <c r="E3552" s="8">
        <v>318</v>
      </c>
    </row>
    <row r="3553" s="3" customFormat="1" ht="18.75" spans="1:5">
      <c r="A3553" s="8" t="str">
        <f t="shared" si="62"/>
        <v>250018</v>
      </c>
      <c r="B3553" s="8" t="str">
        <f>"2561404010412"</f>
        <v>2561404010412</v>
      </c>
      <c r="C3553" s="8" t="s">
        <v>10</v>
      </c>
      <c r="D3553" s="9">
        <v>0</v>
      </c>
      <c r="E3553" s="8">
        <v>318</v>
      </c>
    </row>
    <row r="3554" s="3" customFormat="1" ht="18.75" spans="1:5">
      <c r="A3554" s="8" t="str">
        <f t="shared" si="62"/>
        <v>250018</v>
      </c>
      <c r="B3554" s="8" t="str">
        <f>"2561404010415"</f>
        <v>2561404010415</v>
      </c>
      <c r="C3554" s="8" t="s">
        <v>10</v>
      </c>
      <c r="D3554" s="9">
        <v>0</v>
      </c>
      <c r="E3554" s="8">
        <v>318</v>
      </c>
    </row>
    <row r="3555" s="3" customFormat="1" ht="18.75" spans="1:5">
      <c r="A3555" s="8" t="str">
        <f t="shared" si="62"/>
        <v>250018</v>
      </c>
      <c r="B3555" s="8" t="str">
        <f>"2561404010416"</f>
        <v>2561404010416</v>
      </c>
      <c r="C3555" s="8" t="s">
        <v>10</v>
      </c>
      <c r="D3555" s="9">
        <v>0</v>
      </c>
      <c r="E3555" s="8">
        <v>318</v>
      </c>
    </row>
    <row r="3556" s="3" customFormat="1" ht="18.75" spans="1:5">
      <c r="A3556" s="8" t="str">
        <f t="shared" si="62"/>
        <v>250018</v>
      </c>
      <c r="B3556" s="8" t="str">
        <f>"2561404010417"</f>
        <v>2561404010417</v>
      </c>
      <c r="C3556" s="8" t="s">
        <v>10</v>
      </c>
      <c r="D3556" s="9">
        <v>0</v>
      </c>
      <c r="E3556" s="8">
        <v>318</v>
      </c>
    </row>
    <row r="3557" s="3" customFormat="1" ht="18.75" spans="1:5">
      <c r="A3557" s="8" t="str">
        <f t="shared" si="62"/>
        <v>250018</v>
      </c>
      <c r="B3557" s="8" t="str">
        <f>"2561404010420"</f>
        <v>2561404010420</v>
      </c>
      <c r="C3557" s="8" t="s">
        <v>10</v>
      </c>
      <c r="D3557" s="9">
        <v>0</v>
      </c>
      <c r="E3557" s="8">
        <v>318</v>
      </c>
    </row>
    <row r="3558" s="3" customFormat="1" ht="18.75" spans="1:5">
      <c r="A3558" s="8" t="str">
        <f t="shared" si="62"/>
        <v>250018</v>
      </c>
      <c r="B3558" s="8" t="str">
        <f>"2561404010421"</f>
        <v>2561404010421</v>
      </c>
      <c r="C3558" s="8" t="s">
        <v>10</v>
      </c>
      <c r="D3558" s="9">
        <v>0</v>
      </c>
      <c r="E3558" s="8">
        <v>318</v>
      </c>
    </row>
    <row r="3559" s="3" customFormat="1" ht="18.75" spans="1:5">
      <c r="A3559" s="8" t="str">
        <f t="shared" si="62"/>
        <v>250018</v>
      </c>
      <c r="B3559" s="8" t="str">
        <f>"2561404010424"</f>
        <v>2561404010424</v>
      </c>
      <c r="C3559" s="8" t="s">
        <v>10</v>
      </c>
      <c r="D3559" s="9">
        <v>0</v>
      </c>
      <c r="E3559" s="8">
        <v>318</v>
      </c>
    </row>
    <row r="3560" s="3" customFormat="1" ht="18.75" spans="1:5">
      <c r="A3560" s="8" t="str">
        <f t="shared" ref="A3560:A3623" si="63">"250018"</f>
        <v>250018</v>
      </c>
      <c r="B3560" s="8" t="str">
        <f>"2561404010425"</f>
        <v>2561404010425</v>
      </c>
      <c r="C3560" s="8" t="s">
        <v>10</v>
      </c>
      <c r="D3560" s="9">
        <v>0</v>
      </c>
      <c r="E3560" s="8">
        <v>318</v>
      </c>
    </row>
    <row r="3561" s="3" customFormat="1" ht="18.75" spans="1:5">
      <c r="A3561" s="8" t="str">
        <f t="shared" si="63"/>
        <v>250018</v>
      </c>
      <c r="B3561" s="8" t="str">
        <f>"2561404010426"</f>
        <v>2561404010426</v>
      </c>
      <c r="C3561" s="8" t="s">
        <v>10</v>
      </c>
      <c r="D3561" s="9">
        <v>0</v>
      </c>
      <c r="E3561" s="8">
        <v>318</v>
      </c>
    </row>
    <row r="3562" s="3" customFormat="1" ht="18.75" spans="1:5">
      <c r="A3562" s="8" t="str">
        <f t="shared" si="63"/>
        <v>250018</v>
      </c>
      <c r="B3562" s="8" t="str">
        <f>"2561404010428"</f>
        <v>2561404010428</v>
      </c>
      <c r="C3562" s="8" t="s">
        <v>10</v>
      </c>
      <c r="D3562" s="9">
        <v>0</v>
      </c>
      <c r="E3562" s="8">
        <v>318</v>
      </c>
    </row>
    <row r="3563" s="3" customFormat="1" ht="18.75" spans="1:5">
      <c r="A3563" s="8" t="str">
        <f t="shared" si="63"/>
        <v>250018</v>
      </c>
      <c r="B3563" s="8" t="str">
        <f>"2561404010429"</f>
        <v>2561404010429</v>
      </c>
      <c r="C3563" s="8" t="s">
        <v>10</v>
      </c>
      <c r="D3563" s="9">
        <v>0</v>
      </c>
      <c r="E3563" s="8">
        <v>318</v>
      </c>
    </row>
    <row r="3564" s="3" customFormat="1" ht="18.75" spans="1:5">
      <c r="A3564" s="8" t="str">
        <f t="shared" si="63"/>
        <v>250018</v>
      </c>
      <c r="B3564" s="8" t="str">
        <f>"2561404010430"</f>
        <v>2561404010430</v>
      </c>
      <c r="C3564" s="8" t="s">
        <v>10</v>
      </c>
      <c r="D3564" s="9">
        <v>0</v>
      </c>
      <c r="E3564" s="8">
        <v>318</v>
      </c>
    </row>
    <row r="3565" s="3" customFormat="1" ht="18.75" spans="1:5">
      <c r="A3565" s="8" t="str">
        <f t="shared" si="63"/>
        <v>250018</v>
      </c>
      <c r="B3565" s="8" t="str">
        <f>"2561404010503"</f>
        <v>2561404010503</v>
      </c>
      <c r="C3565" s="8" t="s">
        <v>10</v>
      </c>
      <c r="D3565" s="9">
        <v>0</v>
      </c>
      <c r="E3565" s="8">
        <v>318</v>
      </c>
    </row>
    <row r="3566" s="3" customFormat="1" ht="18.75" spans="1:5">
      <c r="A3566" s="8" t="str">
        <f t="shared" si="63"/>
        <v>250018</v>
      </c>
      <c r="B3566" s="8" t="str">
        <f>"2561404010506"</f>
        <v>2561404010506</v>
      </c>
      <c r="C3566" s="8" t="s">
        <v>10</v>
      </c>
      <c r="D3566" s="9">
        <v>0</v>
      </c>
      <c r="E3566" s="8">
        <v>318</v>
      </c>
    </row>
    <row r="3567" s="3" customFormat="1" ht="18.75" spans="1:5">
      <c r="A3567" s="8" t="str">
        <f t="shared" si="63"/>
        <v>250018</v>
      </c>
      <c r="B3567" s="8" t="str">
        <f>"2561404010507"</f>
        <v>2561404010507</v>
      </c>
      <c r="C3567" s="8" t="s">
        <v>10</v>
      </c>
      <c r="D3567" s="9">
        <v>0</v>
      </c>
      <c r="E3567" s="8">
        <v>318</v>
      </c>
    </row>
    <row r="3568" s="3" customFormat="1" ht="18.75" spans="1:5">
      <c r="A3568" s="8" t="str">
        <f t="shared" si="63"/>
        <v>250018</v>
      </c>
      <c r="B3568" s="8" t="str">
        <f>"2561404010508"</f>
        <v>2561404010508</v>
      </c>
      <c r="C3568" s="8" t="s">
        <v>10</v>
      </c>
      <c r="D3568" s="9">
        <v>0</v>
      </c>
      <c r="E3568" s="8">
        <v>318</v>
      </c>
    </row>
    <row r="3569" s="3" customFormat="1" ht="18.75" spans="1:5">
      <c r="A3569" s="8" t="str">
        <f t="shared" si="63"/>
        <v>250018</v>
      </c>
      <c r="B3569" s="8" t="str">
        <f>"2561404010510"</f>
        <v>2561404010510</v>
      </c>
      <c r="C3569" s="8" t="s">
        <v>10</v>
      </c>
      <c r="D3569" s="9">
        <v>0</v>
      </c>
      <c r="E3569" s="8">
        <v>318</v>
      </c>
    </row>
    <row r="3570" s="3" customFormat="1" ht="18.75" spans="1:5">
      <c r="A3570" s="8" t="str">
        <f t="shared" si="63"/>
        <v>250018</v>
      </c>
      <c r="B3570" s="8" t="str">
        <f>"2561404010512"</f>
        <v>2561404010512</v>
      </c>
      <c r="C3570" s="8" t="s">
        <v>10</v>
      </c>
      <c r="D3570" s="9">
        <v>0</v>
      </c>
      <c r="E3570" s="8">
        <v>318</v>
      </c>
    </row>
    <row r="3571" s="3" customFormat="1" ht="18.75" spans="1:5">
      <c r="A3571" s="8" t="str">
        <f t="shared" si="63"/>
        <v>250018</v>
      </c>
      <c r="B3571" s="8" t="str">
        <f>"2561404010513"</f>
        <v>2561404010513</v>
      </c>
      <c r="C3571" s="8" t="s">
        <v>10</v>
      </c>
      <c r="D3571" s="9">
        <v>0</v>
      </c>
      <c r="E3571" s="8">
        <v>318</v>
      </c>
    </row>
    <row r="3572" s="3" customFormat="1" ht="18.75" spans="1:5">
      <c r="A3572" s="8" t="str">
        <f t="shared" si="63"/>
        <v>250018</v>
      </c>
      <c r="B3572" s="8" t="str">
        <f>"2561404010514"</f>
        <v>2561404010514</v>
      </c>
      <c r="C3572" s="8" t="s">
        <v>10</v>
      </c>
      <c r="D3572" s="9">
        <v>0</v>
      </c>
      <c r="E3572" s="8">
        <v>318</v>
      </c>
    </row>
    <row r="3573" s="3" customFormat="1" ht="18.75" spans="1:5">
      <c r="A3573" s="8" t="str">
        <f t="shared" si="63"/>
        <v>250018</v>
      </c>
      <c r="B3573" s="8" t="str">
        <f>"2561404010516"</f>
        <v>2561404010516</v>
      </c>
      <c r="C3573" s="8" t="s">
        <v>10</v>
      </c>
      <c r="D3573" s="9">
        <v>0</v>
      </c>
      <c r="E3573" s="8">
        <v>318</v>
      </c>
    </row>
    <row r="3574" s="3" customFormat="1" ht="18.75" spans="1:5">
      <c r="A3574" s="8" t="str">
        <f t="shared" si="63"/>
        <v>250018</v>
      </c>
      <c r="B3574" s="8" t="str">
        <f>"2561404010518"</f>
        <v>2561404010518</v>
      </c>
      <c r="C3574" s="8" t="s">
        <v>10</v>
      </c>
      <c r="D3574" s="9">
        <v>0</v>
      </c>
      <c r="E3574" s="8">
        <v>318</v>
      </c>
    </row>
    <row r="3575" s="3" customFormat="1" ht="18.75" spans="1:5">
      <c r="A3575" s="8" t="str">
        <f t="shared" si="63"/>
        <v>250018</v>
      </c>
      <c r="B3575" s="8" t="str">
        <f>"2561404010520"</f>
        <v>2561404010520</v>
      </c>
      <c r="C3575" s="8" t="s">
        <v>10</v>
      </c>
      <c r="D3575" s="9">
        <v>0</v>
      </c>
      <c r="E3575" s="8">
        <v>318</v>
      </c>
    </row>
    <row r="3576" s="3" customFormat="1" ht="18.75" spans="1:5">
      <c r="A3576" s="8" t="str">
        <f t="shared" si="63"/>
        <v>250018</v>
      </c>
      <c r="B3576" s="8" t="str">
        <f>"2561404010521"</f>
        <v>2561404010521</v>
      </c>
      <c r="C3576" s="8" t="s">
        <v>10</v>
      </c>
      <c r="D3576" s="9">
        <v>0</v>
      </c>
      <c r="E3576" s="8">
        <v>318</v>
      </c>
    </row>
    <row r="3577" s="3" customFormat="1" ht="18.75" spans="1:5">
      <c r="A3577" s="8" t="str">
        <f t="shared" si="63"/>
        <v>250018</v>
      </c>
      <c r="B3577" s="8" t="str">
        <f>"2561404010522"</f>
        <v>2561404010522</v>
      </c>
      <c r="C3577" s="8" t="s">
        <v>10</v>
      </c>
      <c r="D3577" s="9">
        <v>0</v>
      </c>
      <c r="E3577" s="8">
        <v>318</v>
      </c>
    </row>
    <row r="3578" s="3" customFormat="1" ht="18.75" spans="1:5">
      <c r="A3578" s="8" t="str">
        <f t="shared" si="63"/>
        <v>250018</v>
      </c>
      <c r="B3578" s="8" t="str">
        <f>"2561404010524"</f>
        <v>2561404010524</v>
      </c>
      <c r="C3578" s="8" t="s">
        <v>10</v>
      </c>
      <c r="D3578" s="9">
        <v>0</v>
      </c>
      <c r="E3578" s="8">
        <v>318</v>
      </c>
    </row>
    <row r="3579" s="3" customFormat="1" ht="18.75" spans="1:5">
      <c r="A3579" s="8" t="str">
        <f t="shared" si="63"/>
        <v>250018</v>
      </c>
      <c r="B3579" s="8" t="str">
        <f>"2561404010525"</f>
        <v>2561404010525</v>
      </c>
      <c r="C3579" s="8" t="s">
        <v>10</v>
      </c>
      <c r="D3579" s="9">
        <v>0</v>
      </c>
      <c r="E3579" s="8">
        <v>318</v>
      </c>
    </row>
    <row r="3580" s="3" customFormat="1" ht="18.75" spans="1:5">
      <c r="A3580" s="8" t="str">
        <f t="shared" si="63"/>
        <v>250018</v>
      </c>
      <c r="B3580" s="8" t="str">
        <f>"2561404010526"</f>
        <v>2561404010526</v>
      </c>
      <c r="C3580" s="8" t="s">
        <v>10</v>
      </c>
      <c r="D3580" s="9">
        <v>0</v>
      </c>
      <c r="E3580" s="8">
        <v>318</v>
      </c>
    </row>
    <row r="3581" s="3" customFormat="1" ht="18.75" spans="1:5">
      <c r="A3581" s="8" t="str">
        <f t="shared" si="63"/>
        <v>250018</v>
      </c>
      <c r="B3581" s="8" t="str">
        <f>"2561404010527"</f>
        <v>2561404010527</v>
      </c>
      <c r="C3581" s="8" t="s">
        <v>10</v>
      </c>
      <c r="D3581" s="9">
        <v>0</v>
      </c>
      <c r="E3581" s="8">
        <v>318</v>
      </c>
    </row>
    <row r="3582" s="3" customFormat="1" ht="18.75" spans="1:5">
      <c r="A3582" s="8" t="str">
        <f t="shared" si="63"/>
        <v>250018</v>
      </c>
      <c r="B3582" s="8" t="str">
        <f>"2561404010528"</f>
        <v>2561404010528</v>
      </c>
      <c r="C3582" s="8" t="s">
        <v>10</v>
      </c>
      <c r="D3582" s="9">
        <v>0</v>
      </c>
      <c r="E3582" s="8">
        <v>318</v>
      </c>
    </row>
    <row r="3583" s="3" customFormat="1" ht="18.75" spans="1:5">
      <c r="A3583" s="8" t="str">
        <f t="shared" si="63"/>
        <v>250018</v>
      </c>
      <c r="B3583" s="8" t="str">
        <f>"2561404010529"</f>
        <v>2561404010529</v>
      </c>
      <c r="C3583" s="8" t="s">
        <v>10</v>
      </c>
      <c r="D3583" s="9">
        <v>0</v>
      </c>
      <c r="E3583" s="8">
        <v>318</v>
      </c>
    </row>
    <row r="3584" s="3" customFormat="1" ht="18.75" spans="1:5">
      <c r="A3584" s="8" t="str">
        <f t="shared" si="63"/>
        <v>250018</v>
      </c>
      <c r="B3584" s="8" t="str">
        <f>"2561404010530"</f>
        <v>2561404010530</v>
      </c>
      <c r="C3584" s="8" t="s">
        <v>10</v>
      </c>
      <c r="D3584" s="9">
        <v>0</v>
      </c>
      <c r="E3584" s="8">
        <v>318</v>
      </c>
    </row>
    <row r="3585" s="3" customFormat="1" ht="18.75" spans="1:5">
      <c r="A3585" s="8" t="str">
        <f t="shared" si="63"/>
        <v>250018</v>
      </c>
      <c r="B3585" s="8" t="str">
        <f>"2561404010603"</f>
        <v>2561404010603</v>
      </c>
      <c r="C3585" s="8" t="s">
        <v>10</v>
      </c>
      <c r="D3585" s="9">
        <v>0</v>
      </c>
      <c r="E3585" s="8">
        <v>318</v>
      </c>
    </row>
    <row r="3586" s="3" customFormat="1" ht="18.75" spans="1:5">
      <c r="A3586" s="8" t="str">
        <f t="shared" si="63"/>
        <v>250018</v>
      </c>
      <c r="B3586" s="8" t="str">
        <f>"2561404010604"</f>
        <v>2561404010604</v>
      </c>
      <c r="C3586" s="8" t="s">
        <v>10</v>
      </c>
      <c r="D3586" s="9">
        <v>0</v>
      </c>
      <c r="E3586" s="8">
        <v>318</v>
      </c>
    </row>
    <row r="3587" s="3" customFormat="1" ht="18.75" spans="1:5">
      <c r="A3587" s="8" t="str">
        <f t="shared" si="63"/>
        <v>250018</v>
      </c>
      <c r="B3587" s="8" t="str">
        <f>"2561404010605"</f>
        <v>2561404010605</v>
      </c>
      <c r="C3587" s="8" t="s">
        <v>10</v>
      </c>
      <c r="D3587" s="9">
        <v>0</v>
      </c>
      <c r="E3587" s="8">
        <v>318</v>
      </c>
    </row>
    <row r="3588" s="3" customFormat="1" ht="18.75" spans="1:5">
      <c r="A3588" s="8" t="str">
        <f t="shared" si="63"/>
        <v>250018</v>
      </c>
      <c r="B3588" s="8" t="str">
        <f>"2561404010606"</f>
        <v>2561404010606</v>
      </c>
      <c r="C3588" s="8" t="s">
        <v>10</v>
      </c>
      <c r="D3588" s="9">
        <v>0</v>
      </c>
      <c r="E3588" s="8">
        <v>318</v>
      </c>
    </row>
    <row r="3589" s="3" customFormat="1" ht="18.75" spans="1:5">
      <c r="A3589" s="8" t="str">
        <f t="shared" si="63"/>
        <v>250018</v>
      </c>
      <c r="B3589" s="8" t="str">
        <f>"2561404010609"</f>
        <v>2561404010609</v>
      </c>
      <c r="C3589" s="8" t="s">
        <v>10</v>
      </c>
      <c r="D3589" s="9">
        <v>0</v>
      </c>
      <c r="E3589" s="8">
        <v>318</v>
      </c>
    </row>
    <row r="3590" s="3" customFormat="1" ht="18.75" spans="1:5">
      <c r="A3590" s="8" t="str">
        <f t="shared" si="63"/>
        <v>250018</v>
      </c>
      <c r="B3590" s="8" t="str">
        <f>"2561404010610"</f>
        <v>2561404010610</v>
      </c>
      <c r="C3590" s="8" t="s">
        <v>10</v>
      </c>
      <c r="D3590" s="9">
        <v>0</v>
      </c>
      <c r="E3590" s="8">
        <v>318</v>
      </c>
    </row>
    <row r="3591" s="3" customFormat="1" ht="18.75" spans="1:5">
      <c r="A3591" s="8" t="str">
        <f t="shared" si="63"/>
        <v>250018</v>
      </c>
      <c r="B3591" s="8" t="str">
        <f>"2561404010611"</f>
        <v>2561404010611</v>
      </c>
      <c r="C3591" s="8" t="s">
        <v>10</v>
      </c>
      <c r="D3591" s="9">
        <v>0</v>
      </c>
      <c r="E3591" s="8">
        <v>318</v>
      </c>
    </row>
    <row r="3592" s="3" customFormat="1" ht="18.75" spans="1:5">
      <c r="A3592" s="8" t="str">
        <f t="shared" si="63"/>
        <v>250018</v>
      </c>
      <c r="B3592" s="8" t="str">
        <f>"2561404010612"</f>
        <v>2561404010612</v>
      </c>
      <c r="C3592" s="8" t="s">
        <v>10</v>
      </c>
      <c r="D3592" s="9">
        <v>0</v>
      </c>
      <c r="E3592" s="8">
        <v>318</v>
      </c>
    </row>
    <row r="3593" s="3" customFormat="1" ht="18.75" spans="1:5">
      <c r="A3593" s="8" t="str">
        <f t="shared" si="63"/>
        <v>250018</v>
      </c>
      <c r="B3593" s="8" t="str">
        <f>"2561404010614"</f>
        <v>2561404010614</v>
      </c>
      <c r="C3593" s="8" t="s">
        <v>10</v>
      </c>
      <c r="D3593" s="9">
        <v>0</v>
      </c>
      <c r="E3593" s="8">
        <v>318</v>
      </c>
    </row>
    <row r="3594" s="3" customFormat="1" ht="18.75" spans="1:5">
      <c r="A3594" s="8" t="str">
        <f t="shared" si="63"/>
        <v>250018</v>
      </c>
      <c r="B3594" s="8" t="str">
        <f>"2561404010619"</f>
        <v>2561404010619</v>
      </c>
      <c r="C3594" s="8" t="s">
        <v>10</v>
      </c>
      <c r="D3594" s="9">
        <v>0</v>
      </c>
      <c r="E3594" s="8">
        <v>318</v>
      </c>
    </row>
    <row r="3595" s="3" customFormat="1" ht="18.75" spans="1:5">
      <c r="A3595" s="8" t="str">
        <f t="shared" si="63"/>
        <v>250018</v>
      </c>
      <c r="B3595" s="8" t="str">
        <f>"2561404010622"</f>
        <v>2561404010622</v>
      </c>
      <c r="C3595" s="8" t="s">
        <v>10</v>
      </c>
      <c r="D3595" s="9">
        <v>0</v>
      </c>
      <c r="E3595" s="8">
        <v>318</v>
      </c>
    </row>
    <row r="3596" s="3" customFormat="1" ht="18.75" spans="1:5">
      <c r="A3596" s="8" t="str">
        <f t="shared" si="63"/>
        <v>250018</v>
      </c>
      <c r="B3596" s="8" t="str">
        <f>"2561404010623"</f>
        <v>2561404010623</v>
      </c>
      <c r="C3596" s="8" t="s">
        <v>10</v>
      </c>
      <c r="D3596" s="9">
        <v>0</v>
      </c>
      <c r="E3596" s="8">
        <v>318</v>
      </c>
    </row>
    <row r="3597" s="3" customFormat="1" ht="18.75" spans="1:5">
      <c r="A3597" s="8" t="str">
        <f t="shared" si="63"/>
        <v>250018</v>
      </c>
      <c r="B3597" s="8" t="str">
        <f>"2561404010624"</f>
        <v>2561404010624</v>
      </c>
      <c r="C3597" s="8" t="s">
        <v>10</v>
      </c>
      <c r="D3597" s="9">
        <v>0</v>
      </c>
      <c r="E3597" s="8">
        <v>318</v>
      </c>
    </row>
    <row r="3598" s="3" customFormat="1" ht="18.75" spans="1:5">
      <c r="A3598" s="8" t="str">
        <f t="shared" si="63"/>
        <v>250018</v>
      </c>
      <c r="B3598" s="8" t="str">
        <f>"2561404010628"</f>
        <v>2561404010628</v>
      </c>
      <c r="C3598" s="8" t="s">
        <v>10</v>
      </c>
      <c r="D3598" s="9">
        <v>0</v>
      </c>
      <c r="E3598" s="8">
        <v>318</v>
      </c>
    </row>
    <row r="3599" s="3" customFormat="1" ht="18.75" spans="1:5">
      <c r="A3599" s="8" t="str">
        <f t="shared" si="63"/>
        <v>250018</v>
      </c>
      <c r="B3599" s="8" t="str">
        <f>"2561404010629"</f>
        <v>2561404010629</v>
      </c>
      <c r="C3599" s="8" t="s">
        <v>10</v>
      </c>
      <c r="D3599" s="9">
        <v>0</v>
      </c>
      <c r="E3599" s="8">
        <v>318</v>
      </c>
    </row>
    <row r="3600" s="3" customFormat="1" ht="18.75" spans="1:5">
      <c r="A3600" s="8" t="str">
        <f t="shared" si="63"/>
        <v>250018</v>
      </c>
      <c r="B3600" s="8" t="str">
        <f>"2561404010630"</f>
        <v>2561404010630</v>
      </c>
      <c r="C3600" s="8" t="s">
        <v>10</v>
      </c>
      <c r="D3600" s="9">
        <v>0</v>
      </c>
      <c r="E3600" s="8">
        <v>318</v>
      </c>
    </row>
    <row r="3601" s="3" customFormat="1" ht="18.75" spans="1:5">
      <c r="A3601" s="8" t="str">
        <f t="shared" si="63"/>
        <v>250018</v>
      </c>
      <c r="B3601" s="8" t="str">
        <f>"2561404010701"</f>
        <v>2561404010701</v>
      </c>
      <c r="C3601" s="8" t="s">
        <v>10</v>
      </c>
      <c r="D3601" s="9">
        <v>0</v>
      </c>
      <c r="E3601" s="8">
        <v>318</v>
      </c>
    </row>
    <row r="3602" s="3" customFormat="1" ht="18.75" spans="1:5">
      <c r="A3602" s="8" t="str">
        <f t="shared" si="63"/>
        <v>250018</v>
      </c>
      <c r="B3602" s="8" t="str">
        <f>"2561404010702"</f>
        <v>2561404010702</v>
      </c>
      <c r="C3602" s="8" t="s">
        <v>10</v>
      </c>
      <c r="D3602" s="9">
        <v>0</v>
      </c>
      <c r="E3602" s="8">
        <v>318</v>
      </c>
    </row>
    <row r="3603" s="3" customFormat="1" ht="18.75" spans="1:5">
      <c r="A3603" s="8" t="str">
        <f t="shared" si="63"/>
        <v>250018</v>
      </c>
      <c r="B3603" s="8" t="str">
        <f>"2561404010703"</f>
        <v>2561404010703</v>
      </c>
      <c r="C3603" s="8" t="s">
        <v>10</v>
      </c>
      <c r="D3603" s="9">
        <v>0</v>
      </c>
      <c r="E3603" s="8">
        <v>318</v>
      </c>
    </row>
    <row r="3604" s="3" customFormat="1" ht="18.75" spans="1:5">
      <c r="A3604" s="8" t="str">
        <f t="shared" si="63"/>
        <v>250018</v>
      </c>
      <c r="B3604" s="8" t="str">
        <f>"2561404010704"</f>
        <v>2561404010704</v>
      </c>
      <c r="C3604" s="8" t="s">
        <v>10</v>
      </c>
      <c r="D3604" s="9">
        <v>0</v>
      </c>
      <c r="E3604" s="8">
        <v>318</v>
      </c>
    </row>
    <row r="3605" s="3" customFormat="1" ht="18.75" spans="1:5">
      <c r="A3605" s="8" t="str">
        <f t="shared" si="63"/>
        <v>250018</v>
      </c>
      <c r="B3605" s="8" t="str">
        <f>"2561404010705"</f>
        <v>2561404010705</v>
      </c>
      <c r="C3605" s="8" t="s">
        <v>10</v>
      </c>
      <c r="D3605" s="9">
        <v>0</v>
      </c>
      <c r="E3605" s="8">
        <v>318</v>
      </c>
    </row>
    <row r="3606" s="3" customFormat="1" ht="18.75" spans="1:5">
      <c r="A3606" s="8" t="str">
        <f t="shared" si="63"/>
        <v>250018</v>
      </c>
      <c r="B3606" s="8" t="str">
        <f>"2561404010706"</f>
        <v>2561404010706</v>
      </c>
      <c r="C3606" s="8" t="s">
        <v>10</v>
      </c>
      <c r="D3606" s="9">
        <v>0</v>
      </c>
      <c r="E3606" s="8">
        <v>318</v>
      </c>
    </row>
    <row r="3607" s="3" customFormat="1" ht="18.75" spans="1:5">
      <c r="A3607" s="8" t="str">
        <f t="shared" si="63"/>
        <v>250018</v>
      </c>
      <c r="B3607" s="8" t="str">
        <f>"2561404010708"</f>
        <v>2561404010708</v>
      </c>
      <c r="C3607" s="8" t="s">
        <v>10</v>
      </c>
      <c r="D3607" s="9">
        <v>0</v>
      </c>
      <c r="E3607" s="8">
        <v>318</v>
      </c>
    </row>
    <row r="3608" s="3" customFormat="1" ht="18.75" spans="1:5">
      <c r="A3608" s="8" t="str">
        <f t="shared" si="63"/>
        <v>250018</v>
      </c>
      <c r="B3608" s="8" t="str">
        <f>"2561404010709"</f>
        <v>2561404010709</v>
      </c>
      <c r="C3608" s="8" t="s">
        <v>10</v>
      </c>
      <c r="D3608" s="9">
        <v>0</v>
      </c>
      <c r="E3608" s="8">
        <v>318</v>
      </c>
    </row>
    <row r="3609" s="3" customFormat="1" ht="18.75" spans="1:5">
      <c r="A3609" s="8" t="str">
        <f t="shared" si="63"/>
        <v>250018</v>
      </c>
      <c r="B3609" s="8" t="str">
        <f>"2561404010710"</f>
        <v>2561404010710</v>
      </c>
      <c r="C3609" s="8" t="s">
        <v>10</v>
      </c>
      <c r="D3609" s="9">
        <v>0</v>
      </c>
      <c r="E3609" s="8">
        <v>318</v>
      </c>
    </row>
    <row r="3610" s="3" customFormat="1" ht="18.75" spans="1:5">
      <c r="A3610" s="8" t="str">
        <f t="shared" si="63"/>
        <v>250018</v>
      </c>
      <c r="B3610" s="8" t="str">
        <f>"2561404010712"</f>
        <v>2561404010712</v>
      </c>
      <c r="C3610" s="8" t="s">
        <v>10</v>
      </c>
      <c r="D3610" s="9">
        <v>0</v>
      </c>
      <c r="E3610" s="8">
        <v>318</v>
      </c>
    </row>
    <row r="3611" s="3" customFormat="1" ht="18.75" spans="1:5">
      <c r="A3611" s="8" t="str">
        <f t="shared" si="63"/>
        <v>250018</v>
      </c>
      <c r="B3611" s="8" t="str">
        <f>"2561404010713"</f>
        <v>2561404010713</v>
      </c>
      <c r="C3611" s="8" t="s">
        <v>10</v>
      </c>
      <c r="D3611" s="9">
        <v>0</v>
      </c>
      <c r="E3611" s="8">
        <v>318</v>
      </c>
    </row>
    <row r="3612" s="3" customFormat="1" ht="18.75" spans="1:5">
      <c r="A3612" s="8" t="str">
        <f t="shared" si="63"/>
        <v>250018</v>
      </c>
      <c r="B3612" s="8" t="str">
        <f>"2561404010714"</f>
        <v>2561404010714</v>
      </c>
      <c r="C3612" s="8" t="s">
        <v>10</v>
      </c>
      <c r="D3612" s="9">
        <v>0</v>
      </c>
      <c r="E3612" s="8">
        <v>318</v>
      </c>
    </row>
    <row r="3613" s="3" customFormat="1" ht="18.75" spans="1:5">
      <c r="A3613" s="8" t="str">
        <f t="shared" si="63"/>
        <v>250018</v>
      </c>
      <c r="B3613" s="8" t="str">
        <f>"2561404010715"</f>
        <v>2561404010715</v>
      </c>
      <c r="C3613" s="8" t="s">
        <v>10</v>
      </c>
      <c r="D3613" s="9">
        <v>0</v>
      </c>
      <c r="E3613" s="8">
        <v>318</v>
      </c>
    </row>
    <row r="3614" s="3" customFormat="1" ht="18.75" spans="1:5">
      <c r="A3614" s="8" t="str">
        <f t="shared" si="63"/>
        <v>250018</v>
      </c>
      <c r="B3614" s="8" t="str">
        <f>"2561404010717"</f>
        <v>2561404010717</v>
      </c>
      <c r="C3614" s="8" t="s">
        <v>10</v>
      </c>
      <c r="D3614" s="9">
        <v>0</v>
      </c>
      <c r="E3614" s="8">
        <v>318</v>
      </c>
    </row>
    <row r="3615" s="3" customFormat="1" ht="18.75" spans="1:5">
      <c r="A3615" s="8" t="str">
        <f t="shared" si="63"/>
        <v>250018</v>
      </c>
      <c r="B3615" s="8" t="str">
        <f>"2561404010718"</f>
        <v>2561404010718</v>
      </c>
      <c r="C3615" s="8" t="s">
        <v>10</v>
      </c>
      <c r="D3615" s="9">
        <v>0</v>
      </c>
      <c r="E3615" s="8">
        <v>318</v>
      </c>
    </row>
    <row r="3616" s="3" customFormat="1" ht="18.75" spans="1:5">
      <c r="A3616" s="8" t="str">
        <f t="shared" si="63"/>
        <v>250018</v>
      </c>
      <c r="B3616" s="8" t="str">
        <f>"2561404010720"</f>
        <v>2561404010720</v>
      </c>
      <c r="C3616" s="8" t="s">
        <v>10</v>
      </c>
      <c r="D3616" s="9">
        <v>0</v>
      </c>
      <c r="E3616" s="8">
        <v>318</v>
      </c>
    </row>
    <row r="3617" s="3" customFormat="1" ht="18.75" spans="1:5">
      <c r="A3617" s="8" t="str">
        <f t="shared" si="63"/>
        <v>250018</v>
      </c>
      <c r="B3617" s="8" t="str">
        <f>"2561404010721"</f>
        <v>2561404010721</v>
      </c>
      <c r="C3617" s="8" t="s">
        <v>10</v>
      </c>
      <c r="D3617" s="9">
        <v>0</v>
      </c>
      <c r="E3617" s="8">
        <v>318</v>
      </c>
    </row>
    <row r="3618" s="3" customFormat="1" ht="18.75" spans="1:5">
      <c r="A3618" s="8" t="str">
        <f t="shared" si="63"/>
        <v>250018</v>
      </c>
      <c r="B3618" s="8" t="str">
        <f>"2561404010722"</f>
        <v>2561404010722</v>
      </c>
      <c r="C3618" s="8" t="s">
        <v>10</v>
      </c>
      <c r="D3618" s="9">
        <v>0</v>
      </c>
      <c r="E3618" s="8">
        <v>318</v>
      </c>
    </row>
    <row r="3619" s="3" customFormat="1" ht="18.75" spans="1:5">
      <c r="A3619" s="8" t="str">
        <f t="shared" si="63"/>
        <v>250018</v>
      </c>
      <c r="B3619" s="8" t="str">
        <f>"2561404010723"</f>
        <v>2561404010723</v>
      </c>
      <c r="C3619" s="8" t="s">
        <v>10</v>
      </c>
      <c r="D3619" s="9">
        <v>0</v>
      </c>
      <c r="E3619" s="8">
        <v>318</v>
      </c>
    </row>
    <row r="3620" s="3" customFormat="1" ht="18.75" spans="1:5">
      <c r="A3620" s="8" t="str">
        <f t="shared" si="63"/>
        <v>250018</v>
      </c>
      <c r="B3620" s="8" t="str">
        <f>"2561404010725"</f>
        <v>2561404010725</v>
      </c>
      <c r="C3620" s="8" t="s">
        <v>10</v>
      </c>
      <c r="D3620" s="9">
        <v>0</v>
      </c>
      <c r="E3620" s="8">
        <v>318</v>
      </c>
    </row>
    <row r="3621" s="3" customFormat="1" ht="18.75" spans="1:5">
      <c r="A3621" s="8" t="str">
        <f t="shared" si="63"/>
        <v>250018</v>
      </c>
      <c r="B3621" s="8" t="str">
        <f>"2561404010727"</f>
        <v>2561404010727</v>
      </c>
      <c r="C3621" s="8" t="s">
        <v>10</v>
      </c>
      <c r="D3621" s="9">
        <v>0</v>
      </c>
      <c r="E3621" s="8">
        <v>318</v>
      </c>
    </row>
    <row r="3622" s="3" customFormat="1" ht="18.75" spans="1:5">
      <c r="A3622" s="8" t="str">
        <f t="shared" si="63"/>
        <v>250018</v>
      </c>
      <c r="B3622" s="8" t="str">
        <f>"2561404010730"</f>
        <v>2561404010730</v>
      </c>
      <c r="C3622" s="8" t="s">
        <v>10</v>
      </c>
      <c r="D3622" s="9">
        <v>0</v>
      </c>
      <c r="E3622" s="8">
        <v>318</v>
      </c>
    </row>
    <row r="3623" s="3" customFormat="1" ht="18.75" spans="1:5">
      <c r="A3623" s="8" t="str">
        <f t="shared" si="63"/>
        <v>250018</v>
      </c>
      <c r="B3623" s="8" t="str">
        <f>"2561404010801"</f>
        <v>2561404010801</v>
      </c>
      <c r="C3623" s="8" t="s">
        <v>10</v>
      </c>
      <c r="D3623" s="9">
        <v>0</v>
      </c>
      <c r="E3623" s="8">
        <v>318</v>
      </c>
    </row>
    <row r="3624" s="3" customFormat="1" ht="18.75" spans="1:5">
      <c r="A3624" s="8" t="str">
        <f t="shared" ref="A3624:A3687" si="64">"250018"</f>
        <v>250018</v>
      </c>
      <c r="B3624" s="8" t="str">
        <f>"2561404010803"</f>
        <v>2561404010803</v>
      </c>
      <c r="C3624" s="8" t="s">
        <v>10</v>
      </c>
      <c r="D3624" s="9">
        <v>0</v>
      </c>
      <c r="E3624" s="8">
        <v>318</v>
      </c>
    </row>
    <row r="3625" s="3" customFormat="1" ht="18.75" spans="1:5">
      <c r="A3625" s="8" t="str">
        <f t="shared" si="64"/>
        <v>250018</v>
      </c>
      <c r="B3625" s="8" t="str">
        <f>"2561404010804"</f>
        <v>2561404010804</v>
      </c>
      <c r="C3625" s="8" t="s">
        <v>10</v>
      </c>
      <c r="D3625" s="9">
        <v>0</v>
      </c>
      <c r="E3625" s="8">
        <v>318</v>
      </c>
    </row>
    <row r="3626" s="3" customFormat="1" ht="18.75" spans="1:5">
      <c r="A3626" s="8" t="str">
        <f t="shared" si="64"/>
        <v>250018</v>
      </c>
      <c r="B3626" s="8" t="str">
        <f>"2561404010805"</f>
        <v>2561404010805</v>
      </c>
      <c r="C3626" s="8" t="s">
        <v>10</v>
      </c>
      <c r="D3626" s="9">
        <v>0</v>
      </c>
      <c r="E3626" s="8">
        <v>318</v>
      </c>
    </row>
    <row r="3627" s="3" customFormat="1" ht="18.75" spans="1:5">
      <c r="A3627" s="8" t="str">
        <f t="shared" si="64"/>
        <v>250018</v>
      </c>
      <c r="B3627" s="8" t="str">
        <f>"2561404010807"</f>
        <v>2561404010807</v>
      </c>
      <c r="C3627" s="8" t="s">
        <v>10</v>
      </c>
      <c r="D3627" s="9">
        <v>0</v>
      </c>
      <c r="E3627" s="8">
        <v>318</v>
      </c>
    </row>
    <row r="3628" s="3" customFormat="1" ht="18.75" spans="1:5">
      <c r="A3628" s="8" t="str">
        <f t="shared" si="64"/>
        <v>250018</v>
      </c>
      <c r="B3628" s="8" t="str">
        <f>"2561404010808"</f>
        <v>2561404010808</v>
      </c>
      <c r="C3628" s="8" t="s">
        <v>10</v>
      </c>
      <c r="D3628" s="9">
        <v>0</v>
      </c>
      <c r="E3628" s="8">
        <v>318</v>
      </c>
    </row>
    <row r="3629" s="3" customFormat="1" ht="18.75" spans="1:5">
      <c r="A3629" s="8" t="str">
        <f t="shared" si="64"/>
        <v>250018</v>
      </c>
      <c r="B3629" s="8" t="str">
        <f>"2561404010809"</f>
        <v>2561404010809</v>
      </c>
      <c r="C3629" s="8" t="s">
        <v>10</v>
      </c>
      <c r="D3629" s="9">
        <v>0</v>
      </c>
      <c r="E3629" s="8">
        <v>318</v>
      </c>
    </row>
    <row r="3630" s="3" customFormat="1" ht="18.75" spans="1:5">
      <c r="A3630" s="8" t="str">
        <f t="shared" si="64"/>
        <v>250018</v>
      </c>
      <c r="B3630" s="8" t="str">
        <f>"2561404010811"</f>
        <v>2561404010811</v>
      </c>
      <c r="C3630" s="8" t="s">
        <v>10</v>
      </c>
      <c r="D3630" s="9">
        <v>0</v>
      </c>
      <c r="E3630" s="8">
        <v>318</v>
      </c>
    </row>
    <row r="3631" s="3" customFormat="1" ht="18.75" spans="1:5">
      <c r="A3631" s="8" t="str">
        <f t="shared" si="64"/>
        <v>250018</v>
      </c>
      <c r="B3631" s="8" t="str">
        <f>"2561404010812"</f>
        <v>2561404010812</v>
      </c>
      <c r="C3631" s="8" t="s">
        <v>10</v>
      </c>
      <c r="D3631" s="9">
        <v>0</v>
      </c>
      <c r="E3631" s="8">
        <v>318</v>
      </c>
    </row>
    <row r="3632" s="3" customFormat="1" ht="18.75" spans="1:5">
      <c r="A3632" s="8" t="str">
        <f t="shared" si="64"/>
        <v>250018</v>
      </c>
      <c r="B3632" s="8" t="str">
        <f>"2561404010816"</f>
        <v>2561404010816</v>
      </c>
      <c r="C3632" s="8" t="s">
        <v>10</v>
      </c>
      <c r="D3632" s="9">
        <v>0</v>
      </c>
      <c r="E3632" s="8">
        <v>318</v>
      </c>
    </row>
    <row r="3633" s="3" customFormat="1" ht="18.75" spans="1:5">
      <c r="A3633" s="8" t="str">
        <f t="shared" si="64"/>
        <v>250018</v>
      </c>
      <c r="B3633" s="8" t="str">
        <f>"2561404010818"</f>
        <v>2561404010818</v>
      </c>
      <c r="C3633" s="8" t="s">
        <v>10</v>
      </c>
      <c r="D3633" s="9">
        <v>0</v>
      </c>
      <c r="E3633" s="8">
        <v>318</v>
      </c>
    </row>
    <row r="3634" s="3" customFormat="1" ht="18.75" spans="1:5">
      <c r="A3634" s="8" t="str">
        <f t="shared" si="64"/>
        <v>250018</v>
      </c>
      <c r="B3634" s="8" t="str">
        <f>"2561404010819"</f>
        <v>2561404010819</v>
      </c>
      <c r="C3634" s="8" t="s">
        <v>10</v>
      </c>
      <c r="D3634" s="9">
        <v>0</v>
      </c>
      <c r="E3634" s="8">
        <v>318</v>
      </c>
    </row>
    <row r="3635" s="3" customFormat="1" ht="18.75" spans="1:5">
      <c r="A3635" s="8" t="str">
        <f t="shared" si="64"/>
        <v>250018</v>
      </c>
      <c r="B3635" s="8" t="str">
        <f>"2561404010820"</f>
        <v>2561404010820</v>
      </c>
      <c r="C3635" s="8" t="s">
        <v>10</v>
      </c>
      <c r="D3635" s="9">
        <v>0</v>
      </c>
      <c r="E3635" s="8">
        <v>318</v>
      </c>
    </row>
    <row r="3636" s="3" customFormat="1" ht="18.75" spans="1:5">
      <c r="A3636" s="8" t="str">
        <f t="shared" si="64"/>
        <v>250018</v>
      </c>
      <c r="B3636" s="8" t="str">
        <f>"2561404010821"</f>
        <v>2561404010821</v>
      </c>
      <c r="C3636" s="8" t="s">
        <v>10</v>
      </c>
      <c r="D3636" s="9">
        <v>0</v>
      </c>
      <c r="E3636" s="8">
        <v>318</v>
      </c>
    </row>
    <row r="3637" s="3" customFormat="1" ht="18.75" spans="1:5">
      <c r="A3637" s="8" t="str">
        <f t="shared" si="64"/>
        <v>250018</v>
      </c>
      <c r="B3637" s="8" t="str">
        <f>"2561404010822"</f>
        <v>2561404010822</v>
      </c>
      <c r="C3637" s="8" t="s">
        <v>10</v>
      </c>
      <c r="D3637" s="9">
        <v>0</v>
      </c>
      <c r="E3637" s="8">
        <v>318</v>
      </c>
    </row>
    <row r="3638" s="3" customFormat="1" ht="18.75" spans="1:5">
      <c r="A3638" s="8" t="str">
        <f t="shared" si="64"/>
        <v>250018</v>
      </c>
      <c r="B3638" s="8" t="str">
        <f>"2561404010823"</f>
        <v>2561404010823</v>
      </c>
      <c r="C3638" s="8" t="s">
        <v>10</v>
      </c>
      <c r="D3638" s="9">
        <v>0</v>
      </c>
      <c r="E3638" s="8">
        <v>318</v>
      </c>
    </row>
    <row r="3639" s="3" customFormat="1" ht="18.75" spans="1:5">
      <c r="A3639" s="8" t="str">
        <f t="shared" si="64"/>
        <v>250018</v>
      </c>
      <c r="B3639" s="8" t="str">
        <f>"2561404010824"</f>
        <v>2561404010824</v>
      </c>
      <c r="C3639" s="8" t="s">
        <v>10</v>
      </c>
      <c r="D3639" s="9">
        <v>0</v>
      </c>
      <c r="E3639" s="8">
        <v>318</v>
      </c>
    </row>
    <row r="3640" s="3" customFormat="1" ht="18.75" spans="1:5">
      <c r="A3640" s="8" t="str">
        <f t="shared" si="64"/>
        <v>250018</v>
      </c>
      <c r="B3640" s="8" t="str">
        <f>"2561404010825"</f>
        <v>2561404010825</v>
      </c>
      <c r="C3640" s="8" t="s">
        <v>10</v>
      </c>
      <c r="D3640" s="9">
        <v>0</v>
      </c>
      <c r="E3640" s="8">
        <v>318</v>
      </c>
    </row>
    <row r="3641" s="3" customFormat="1" ht="18.75" spans="1:5">
      <c r="A3641" s="8" t="str">
        <f t="shared" si="64"/>
        <v>250018</v>
      </c>
      <c r="B3641" s="8" t="str">
        <f>"2561404010826"</f>
        <v>2561404010826</v>
      </c>
      <c r="C3641" s="8" t="s">
        <v>10</v>
      </c>
      <c r="D3641" s="9">
        <v>0</v>
      </c>
      <c r="E3641" s="8">
        <v>318</v>
      </c>
    </row>
    <row r="3642" s="3" customFormat="1" ht="18.75" spans="1:5">
      <c r="A3642" s="8" t="str">
        <f t="shared" si="64"/>
        <v>250018</v>
      </c>
      <c r="B3642" s="8" t="str">
        <f>"2561404010827"</f>
        <v>2561404010827</v>
      </c>
      <c r="C3642" s="8" t="s">
        <v>10</v>
      </c>
      <c r="D3642" s="9">
        <v>0</v>
      </c>
      <c r="E3642" s="8">
        <v>318</v>
      </c>
    </row>
    <row r="3643" s="3" customFormat="1" ht="18.75" spans="1:5">
      <c r="A3643" s="8" t="str">
        <f t="shared" si="64"/>
        <v>250018</v>
      </c>
      <c r="B3643" s="8" t="str">
        <f>"2561404010828"</f>
        <v>2561404010828</v>
      </c>
      <c r="C3643" s="8" t="s">
        <v>10</v>
      </c>
      <c r="D3643" s="9">
        <v>0</v>
      </c>
      <c r="E3643" s="8">
        <v>318</v>
      </c>
    </row>
    <row r="3644" s="3" customFormat="1" ht="18.75" spans="1:5">
      <c r="A3644" s="8" t="str">
        <f t="shared" si="64"/>
        <v>250018</v>
      </c>
      <c r="B3644" s="8" t="str">
        <f>"2561404010829"</f>
        <v>2561404010829</v>
      </c>
      <c r="C3644" s="8" t="s">
        <v>10</v>
      </c>
      <c r="D3644" s="9">
        <v>0</v>
      </c>
      <c r="E3644" s="8">
        <v>318</v>
      </c>
    </row>
    <row r="3645" s="3" customFormat="1" ht="18.75" spans="1:5">
      <c r="A3645" s="8" t="str">
        <f t="shared" si="64"/>
        <v>250018</v>
      </c>
      <c r="B3645" s="8" t="str">
        <f>"2561404010830"</f>
        <v>2561404010830</v>
      </c>
      <c r="C3645" s="8" t="s">
        <v>10</v>
      </c>
      <c r="D3645" s="9">
        <v>0</v>
      </c>
      <c r="E3645" s="8">
        <v>318</v>
      </c>
    </row>
    <row r="3646" s="3" customFormat="1" ht="18.75" spans="1:5">
      <c r="A3646" s="8" t="str">
        <f t="shared" si="64"/>
        <v>250018</v>
      </c>
      <c r="B3646" s="8" t="str">
        <f>"2561404010901"</f>
        <v>2561404010901</v>
      </c>
      <c r="C3646" s="8" t="s">
        <v>10</v>
      </c>
      <c r="D3646" s="9">
        <v>0</v>
      </c>
      <c r="E3646" s="8">
        <v>318</v>
      </c>
    </row>
    <row r="3647" s="3" customFormat="1" ht="18.75" spans="1:5">
      <c r="A3647" s="8" t="str">
        <f t="shared" si="64"/>
        <v>250018</v>
      </c>
      <c r="B3647" s="8" t="str">
        <f>"2561404010902"</f>
        <v>2561404010902</v>
      </c>
      <c r="C3647" s="8" t="s">
        <v>10</v>
      </c>
      <c r="D3647" s="9">
        <v>0</v>
      </c>
      <c r="E3647" s="8">
        <v>318</v>
      </c>
    </row>
    <row r="3648" s="3" customFormat="1" ht="18.75" spans="1:5">
      <c r="A3648" s="8" t="str">
        <f t="shared" si="64"/>
        <v>250018</v>
      </c>
      <c r="B3648" s="8" t="str">
        <f>"2561404010903"</f>
        <v>2561404010903</v>
      </c>
      <c r="C3648" s="8" t="s">
        <v>10</v>
      </c>
      <c r="D3648" s="9">
        <v>0</v>
      </c>
      <c r="E3648" s="8">
        <v>318</v>
      </c>
    </row>
    <row r="3649" s="3" customFormat="1" ht="18.75" spans="1:5">
      <c r="A3649" s="8" t="str">
        <f t="shared" si="64"/>
        <v>250018</v>
      </c>
      <c r="B3649" s="8" t="str">
        <f>"2561404010905"</f>
        <v>2561404010905</v>
      </c>
      <c r="C3649" s="8" t="s">
        <v>10</v>
      </c>
      <c r="D3649" s="9">
        <v>0</v>
      </c>
      <c r="E3649" s="8">
        <v>318</v>
      </c>
    </row>
    <row r="3650" s="3" customFormat="1" ht="18.75" spans="1:5">
      <c r="A3650" s="8" t="str">
        <f t="shared" si="64"/>
        <v>250018</v>
      </c>
      <c r="B3650" s="8" t="str">
        <f>"2561404010906"</f>
        <v>2561404010906</v>
      </c>
      <c r="C3650" s="8" t="s">
        <v>10</v>
      </c>
      <c r="D3650" s="9">
        <v>0</v>
      </c>
      <c r="E3650" s="8">
        <v>318</v>
      </c>
    </row>
    <row r="3651" s="3" customFormat="1" ht="18.75" spans="1:5">
      <c r="A3651" s="8" t="str">
        <f t="shared" si="64"/>
        <v>250018</v>
      </c>
      <c r="B3651" s="8" t="str">
        <f>"2561404010907"</f>
        <v>2561404010907</v>
      </c>
      <c r="C3651" s="8" t="s">
        <v>10</v>
      </c>
      <c r="D3651" s="9">
        <v>0</v>
      </c>
      <c r="E3651" s="8">
        <v>318</v>
      </c>
    </row>
    <row r="3652" s="3" customFormat="1" ht="18.75" spans="1:5">
      <c r="A3652" s="8" t="str">
        <f t="shared" si="64"/>
        <v>250018</v>
      </c>
      <c r="B3652" s="8" t="str">
        <f>"2561404010909"</f>
        <v>2561404010909</v>
      </c>
      <c r="C3652" s="8" t="s">
        <v>10</v>
      </c>
      <c r="D3652" s="9">
        <v>0</v>
      </c>
      <c r="E3652" s="8">
        <v>318</v>
      </c>
    </row>
    <row r="3653" s="3" customFormat="1" ht="18.75" spans="1:5">
      <c r="A3653" s="8" t="str">
        <f t="shared" si="64"/>
        <v>250018</v>
      </c>
      <c r="B3653" s="8" t="str">
        <f>"2561404010910"</f>
        <v>2561404010910</v>
      </c>
      <c r="C3653" s="8" t="s">
        <v>10</v>
      </c>
      <c r="D3653" s="9">
        <v>0</v>
      </c>
      <c r="E3653" s="8">
        <v>318</v>
      </c>
    </row>
    <row r="3654" s="3" customFormat="1" ht="18.75" spans="1:5">
      <c r="A3654" s="8" t="str">
        <f t="shared" si="64"/>
        <v>250018</v>
      </c>
      <c r="B3654" s="8" t="str">
        <f>"2561404010911"</f>
        <v>2561404010911</v>
      </c>
      <c r="C3654" s="8" t="s">
        <v>10</v>
      </c>
      <c r="D3654" s="9">
        <v>0</v>
      </c>
      <c r="E3654" s="8">
        <v>318</v>
      </c>
    </row>
    <row r="3655" s="3" customFormat="1" ht="18.75" spans="1:5">
      <c r="A3655" s="8" t="str">
        <f t="shared" si="64"/>
        <v>250018</v>
      </c>
      <c r="B3655" s="8" t="str">
        <f>"2561404010913"</f>
        <v>2561404010913</v>
      </c>
      <c r="C3655" s="8" t="s">
        <v>10</v>
      </c>
      <c r="D3655" s="9">
        <v>0</v>
      </c>
      <c r="E3655" s="8">
        <v>318</v>
      </c>
    </row>
    <row r="3656" s="3" customFormat="1" ht="18.75" spans="1:5">
      <c r="A3656" s="8" t="str">
        <f t="shared" si="64"/>
        <v>250018</v>
      </c>
      <c r="B3656" s="8" t="str">
        <f>"2561404010914"</f>
        <v>2561404010914</v>
      </c>
      <c r="C3656" s="8" t="s">
        <v>10</v>
      </c>
      <c r="D3656" s="9">
        <v>0</v>
      </c>
      <c r="E3656" s="8">
        <v>318</v>
      </c>
    </row>
    <row r="3657" s="3" customFormat="1" ht="18.75" spans="1:5">
      <c r="A3657" s="8" t="str">
        <f t="shared" si="64"/>
        <v>250018</v>
      </c>
      <c r="B3657" s="8" t="str">
        <f>"2561404010915"</f>
        <v>2561404010915</v>
      </c>
      <c r="C3657" s="8" t="s">
        <v>10</v>
      </c>
      <c r="D3657" s="9">
        <v>0</v>
      </c>
      <c r="E3657" s="8">
        <v>318</v>
      </c>
    </row>
    <row r="3658" s="3" customFormat="1" ht="18.75" spans="1:5">
      <c r="A3658" s="8" t="str">
        <f t="shared" si="64"/>
        <v>250018</v>
      </c>
      <c r="B3658" s="8" t="str">
        <f>"2561404010916"</f>
        <v>2561404010916</v>
      </c>
      <c r="C3658" s="8" t="s">
        <v>10</v>
      </c>
      <c r="D3658" s="9">
        <v>0</v>
      </c>
      <c r="E3658" s="8">
        <v>318</v>
      </c>
    </row>
    <row r="3659" s="3" customFormat="1" ht="18.75" spans="1:5">
      <c r="A3659" s="8" t="str">
        <f t="shared" si="64"/>
        <v>250018</v>
      </c>
      <c r="B3659" s="8" t="str">
        <f>"2561404010918"</f>
        <v>2561404010918</v>
      </c>
      <c r="C3659" s="8" t="s">
        <v>10</v>
      </c>
      <c r="D3659" s="9">
        <v>0</v>
      </c>
      <c r="E3659" s="8">
        <v>318</v>
      </c>
    </row>
    <row r="3660" s="3" customFormat="1" ht="18.75" spans="1:5">
      <c r="A3660" s="8" t="str">
        <f t="shared" si="64"/>
        <v>250018</v>
      </c>
      <c r="B3660" s="8" t="str">
        <f>"2561404010920"</f>
        <v>2561404010920</v>
      </c>
      <c r="C3660" s="8" t="s">
        <v>10</v>
      </c>
      <c r="D3660" s="9">
        <v>0</v>
      </c>
      <c r="E3660" s="8">
        <v>318</v>
      </c>
    </row>
    <row r="3661" s="3" customFormat="1" ht="18.75" spans="1:5">
      <c r="A3661" s="8" t="str">
        <f t="shared" si="64"/>
        <v>250018</v>
      </c>
      <c r="B3661" s="8" t="str">
        <f>"2561404010921"</f>
        <v>2561404010921</v>
      </c>
      <c r="C3661" s="8" t="s">
        <v>10</v>
      </c>
      <c r="D3661" s="9">
        <v>0</v>
      </c>
      <c r="E3661" s="8">
        <v>318</v>
      </c>
    </row>
    <row r="3662" s="3" customFormat="1" ht="18.75" spans="1:5">
      <c r="A3662" s="8" t="str">
        <f t="shared" si="64"/>
        <v>250018</v>
      </c>
      <c r="B3662" s="8" t="str">
        <f>"2561404010922"</f>
        <v>2561404010922</v>
      </c>
      <c r="C3662" s="8" t="s">
        <v>10</v>
      </c>
      <c r="D3662" s="9">
        <v>0</v>
      </c>
      <c r="E3662" s="8">
        <v>318</v>
      </c>
    </row>
    <row r="3663" s="3" customFormat="1" ht="18.75" spans="1:5">
      <c r="A3663" s="8" t="str">
        <f t="shared" si="64"/>
        <v>250018</v>
      </c>
      <c r="B3663" s="8" t="str">
        <f>"2561404010925"</f>
        <v>2561404010925</v>
      </c>
      <c r="C3663" s="8" t="s">
        <v>10</v>
      </c>
      <c r="D3663" s="9">
        <v>0</v>
      </c>
      <c r="E3663" s="8">
        <v>318</v>
      </c>
    </row>
    <row r="3664" s="3" customFormat="1" ht="18.75" spans="1:5">
      <c r="A3664" s="8" t="str">
        <f t="shared" si="64"/>
        <v>250018</v>
      </c>
      <c r="B3664" s="8" t="str">
        <f>"2561404010926"</f>
        <v>2561404010926</v>
      </c>
      <c r="C3664" s="8" t="s">
        <v>10</v>
      </c>
      <c r="D3664" s="9">
        <v>0</v>
      </c>
      <c r="E3664" s="8">
        <v>318</v>
      </c>
    </row>
    <row r="3665" s="3" customFormat="1" ht="18.75" spans="1:5">
      <c r="A3665" s="8" t="str">
        <f t="shared" si="64"/>
        <v>250018</v>
      </c>
      <c r="B3665" s="8" t="str">
        <f>"2561404010927"</f>
        <v>2561404010927</v>
      </c>
      <c r="C3665" s="8" t="s">
        <v>10</v>
      </c>
      <c r="D3665" s="9">
        <v>0</v>
      </c>
      <c r="E3665" s="8">
        <v>318</v>
      </c>
    </row>
    <row r="3666" s="3" customFormat="1" ht="18.75" spans="1:5">
      <c r="A3666" s="8" t="str">
        <f t="shared" si="64"/>
        <v>250018</v>
      </c>
      <c r="B3666" s="8" t="str">
        <f>"2561404010928"</f>
        <v>2561404010928</v>
      </c>
      <c r="C3666" s="8" t="s">
        <v>10</v>
      </c>
      <c r="D3666" s="9">
        <v>0</v>
      </c>
      <c r="E3666" s="8">
        <v>318</v>
      </c>
    </row>
    <row r="3667" s="3" customFormat="1" ht="18.75" spans="1:5">
      <c r="A3667" s="8" t="str">
        <f t="shared" si="64"/>
        <v>250018</v>
      </c>
      <c r="B3667" s="8" t="str">
        <f>"2561404010929"</f>
        <v>2561404010929</v>
      </c>
      <c r="C3667" s="8" t="s">
        <v>10</v>
      </c>
      <c r="D3667" s="9">
        <v>0</v>
      </c>
      <c r="E3667" s="8">
        <v>318</v>
      </c>
    </row>
    <row r="3668" s="3" customFormat="1" ht="18.75" spans="1:5">
      <c r="A3668" s="8" t="str">
        <f t="shared" si="64"/>
        <v>250018</v>
      </c>
      <c r="B3668" s="8" t="str">
        <f>"2561404010930"</f>
        <v>2561404010930</v>
      </c>
      <c r="C3668" s="8" t="s">
        <v>10</v>
      </c>
      <c r="D3668" s="9">
        <v>0</v>
      </c>
      <c r="E3668" s="8">
        <v>318</v>
      </c>
    </row>
    <row r="3669" s="3" customFormat="1" ht="18.75" spans="1:5">
      <c r="A3669" s="8" t="str">
        <f t="shared" si="64"/>
        <v>250018</v>
      </c>
      <c r="B3669" s="8" t="str">
        <f>"2561404011002"</f>
        <v>2561404011002</v>
      </c>
      <c r="C3669" s="8" t="s">
        <v>10</v>
      </c>
      <c r="D3669" s="9">
        <v>0</v>
      </c>
      <c r="E3669" s="8">
        <v>318</v>
      </c>
    </row>
    <row r="3670" s="3" customFormat="1" ht="18.75" spans="1:5">
      <c r="A3670" s="8" t="str">
        <f t="shared" si="64"/>
        <v>250018</v>
      </c>
      <c r="B3670" s="8" t="str">
        <f>"2561404011003"</f>
        <v>2561404011003</v>
      </c>
      <c r="C3670" s="8" t="s">
        <v>10</v>
      </c>
      <c r="D3670" s="9">
        <v>0</v>
      </c>
      <c r="E3670" s="8">
        <v>318</v>
      </c>
    </row>
    <row r="3671" s="3" customFormat="1" ht="18.75" spans="1:5">
      <c r="A3671" s="8" t="str">
        <f t="shared" si="64"/>
        <v>250018</v>
      </c>
      <c r="B3671" s="8" t="str">
        <f>"2561404011005"</f>
        <v>2561404011005</v>
      </c>
      <c r="C3671" s="8" t="s">
        <v>10</v>
      </c>
      <c r="D3671" s="9">
        <v>0</v>
      </c>
      <c r="E3671" s="8">
        <v>318</v>
      </c>
    </row>
    <row r="3672" s="3" customFormat="1" ht="18.75" spans="1:5">
      <c r="A3672" s="8" t="str">
        <f t="shared" si="64"/>
        <v>250018</v>
      </c>
      <c r="B3672" s="8" t="str">
        <f>"2561404011007"</f>
        <v>2561404011007</v>
      </c>
      <c r="C3672" s="8" t="s">
        <v>10</v>
      </c>
      <c r="D3672" s="9">
        <v>0</v>
      </c>
      <c r="E3672" s="8">
        <v>318</v>
      </c>
    </row>
    <row r="3673" s="3" customFormat="1" ht="18.75" spans="1:5">
      <c r="A3673" s="8" t="str">
        <f t="shared" si="64"/>
        <v>250018</v>
      </c>
      <c r="B3673" s="8" t="str">
        <f>"2561404011009"</f>
        <v>2561404011009</v>
      </c>
      <c r="C3673" s="8" t="s">
        <v>10</v>
      </c>
      <c r="D3673" s="9">
        <v>0</v>
      </c>
      <c r="E3673" s="8">
        <v>318</v>
      </c>
    </row>
    <row r="3674" s="3" customFormat="1" ht="18.75" spans="1:5">
      <c r="A3674" s="8" t="str">
        <f t="shared" si="64"/>
        <v>250018</v>
      </c>
      <c r="B3674" s="8" t="str">
        <f>"2561404011012"</f>
        <v>2561404011012</v>
      </c>
      <c r="C3674" s="8" t="s">
        <v>10</v>
      </c>
      <c r="D3674" s="9">
        <v>0</v>
      </c>
      <c r="E3674" s="8">
        <v>318</v>
      </c>
    </row>
    <row r="3675" s="3" customFormat="1" ht="18.75" spans="1:5">
      <c r="A3675" s="8" t="str">
        <f t="shared" si="64"/>
        <v>250018</v>
      </c>
      <c r="B3675" s="8" t="str">
        <f>"2561404011013"</f>
        <v>2561404011013</v>
      </c>
      <c r="C3675" s="8" t="s">
        <v>10</v>
      </c>
      <c r="D3675" s="9">
        <v>0</v>
      </c>
      <c r="E3675" s="8">
        <v>318</v>
      </c>
    </row>
    <row r="3676" s="3" customFormat="1" ht="18.75" spans="1:5">
      <c r="A3676" s="8" t="str">
        <f t="shared" si="64"/>
        <v>250018</v>
      </c>
      <c r="B3676" s="8" t="str">
        <f>"2561404011014"</f>
        <v>2561404011014</v>
      </c>
      <c r="C3676" s="8" t="s">
        <v>10</v>
      </c>
      <c r="D3676" s="9">
        <v>0</v>
      </c>
      <c r="E3676" s="8">
        <v>318</v>
      </c>
    </row>
    <row r="3677" s="3" customFormat="1" ht="18.75" spans="1:5">
      <c r="A3677" s="8" t="str">
        <f t="shared" si="64"/>
        <v>250018</v>
      </c>
      <c r="B3677" s="8" t="str">
        <f>"2561404011015"</f>
        <v>2561404011015</v>
      </c>
      <c r="C3677" s="8" t="s">
        <v>10</v>
      </c>
      <c r="D3677" s="9">
        <v>0</v>
      </c>
      <c r="E3677" s="8">
        <v>318</v>
      </c>
    </row>
    <row r="3678" s="3" customFormat="1" ht="18.75" spans="1:5">
      <c r="A3678" s="8" t="str">
        <f t="shared" si="64"/>
        <v>250018</v>
      </c>
      <c r="B3678" s="8" t="str">
        <f>"2561404011016"</f>
        <v>2561404011016</v>
      </c>
      <c r="C3678" s="8" t="s">
        <v>10</v>
      </c>
      <c r="D3678" s="9">
        <v>0</v>
      </c>
      <c r="E3678" s="8">
        <v>318</v>
      </c>
    </row>
    <row r="3679" s="3" customFormat="1" ht="18.75" spans="1:5">
      <c r="A3679" s="8" t="str">
        <f t="shared" si="64"/>
        <v>250018</v>
      </c>
      <c r="B3679" s="8" t="str">
        <f>"2561404011017"</f>
        <v>2561404011017</v>
      </c>
      <c r="C3679" s="8" t="s">
        <v>10</v>
      </c>
      <c r="D3679" s="9">
        <v>0</v>
      </c>
      <c r="E3679" s="8">
        <v>318</v>
      </c>
    </row>
    <row r="3680" s="3" customFormat="1" ht="18.75" spans="1:5">
      <c r="A3680" s="8" t="str">
        <f t="shared" si="64"/>
        <v>250018</v>
      </c>
      <c r="B3680" s="8" t="str">
        <f>"2561404011018"</f>
        <v>2561404011018</v>
      </c>
      <c r="C3680" s="8" t="s">
        <v>10</v>
      </c>
      <c r="D3680" s="9">
        <v>0</v>
      </c>
      <c r="E3680" s="8">
        <v>318</v>
      </c>
    </row>
    <row r="3681" s="3" customFormat="1" ht="18.75" spans="1:5">
      <c r="A3681" s="8" t="str">
        <f t="shared" si="64"/>
        <v>250018</v>
      </c>
      <c r="B3681" s="8" t="str">
        <f>"2561404011020"</f>
        <v>2561404011020</v>
      </c>
      <c r="C3681" s="8" t="s">
        <v>10</v>
      </c>
      <c r="D3681" s="9">
        <v>0</v>
      </c>
      <c r="E3681" s="8">
        <v>318</v>
      </c>
    </row>
    <row r="3682" s="3" customFormat="1" ht="18.75" spans="1:5">
      <c r="A3682" s="8" t="str">
        <f t="shared" si="64"/>
        <v>250018</v>
      </c>
      <c r="B3682" s="8" t="str">
        <f>"2561404011021"</f>
        <v>2561404011021</v>
      </c>
      <c r="C3682" s="8" t="s">
        <v>10</v>
      </c>
      <c r="D3682" s="9">
        <v>0</v>
      </c>
      <c r="E3682" s="8">
        <v>318</v>
      </c>
    </row>
    <row r="3683" s="3" customFormat="1" ht="18.75" spans="1:5">
      <c r="A3683" s="8" t="str">
        <f t="shared" si="64"/>
        <v>250018</v>
      </c>
      <c r="B3683" s="8" t="str">
        <f>"2561404011022"</f>
        <v>2561404011022</v>
      </c>
      <c r="C3683" s="8" t="s">
        <v>10</v>
      </c>
      <c r="D3683" s="9">
        <v>0</v>
      </c>
      <c r="E3683" s="8">
        <v>318</v>
      </c>
    </row>
    <row r="3684" s="3" customFormat="1" ht="18.75" spans="1:5">
      <c r="A3684" s="8" t="str">
        <f t="shared" si="64"/>
        <v>250018</v>
      </c>
      <c r="B3684" s="8" t="str">
        <f>"2561404011026"</f>
        <v>2561404011026</v>
      </c>
      <c r="C3684" s="8" t="s">
        <v>10</v>
      </c>
      <c r="D3684" s="9">
        <v>0</v>
      </c>
      <c r="E3684" s="8">
        <v>318</v>
      </c>
    </row>
    <row r="3685" s="3" customFormat="1" ht="18.75" spans="1:5">
      <c r="A3685" s="8" t="str">
        <f t="shared" si="64"/>
        <v>250018</v>
      </c>
      <c r="B3685" s="8" t="str">
        <f>"2561404011028"</f>
        <v>2561404011028</v>
      </c>
      <c r="C3685" s="8" t="s">
        <v>10</v>
      </c>
      <c r="D3685" s="9">
        <v>0</v>
      </c>
      <c r="E3685" s="8">
        <v>318</v>
      </c>
    </row>
    <row r="3686" s="3" customFormat="1" ht="18.75" spans="1:5">
      <c r="A3686" s="8" t="str">
        <f t="shared" si="64"/>
        <v>250018</v>
      </c>
      <c r="B3686" s="8" t="str">
        <f>"2561404011029"</f>
        <v>2561404011029</v>
      </c>
      <c r="C3686" s="8" t="s">
        <v>10</v>
      </c>
      <c r="D3686" s="9">
        <v>0</v>
      </c>
      <c r="E3686" s="8">
        <v>318</v>
      </c>
    </row>
    <row r="3687" s="3" customFormat="1" ht="18.75" spans="1:5">
      <c r="A3687" s="8" t="str">
        <f t="shared" si="64"/>
        <v>250018</v>
      </c>
      <c r="B3687" s="8" t="str">
        <f>"2561404011102"</f>
        <v>2561404011102</v>
      </c>
      <c r="C3687" s="8" t="s">
        <v>10</v>
      </c>
      <c r="D3687" s="9">
        <v>0</v>
      </c>
      <c r="E3687" s="8">
        <v>318</v>
      </c>
    </row>
    <row r="3688" s="3" customFormat="1" ht="18.75" spans="1:5">
      <c r="A3688" s="8" t="str">
        <f t="shared" ref="A3688:A3751" si="65">"250018"</f>
        <v>250018</v>
      </c>
      <c r="B3688" s="8" t="str">
        <f>"2561404011103"</f>
        <v>2561404011103</v>
      </c>
      <c r="C3688" s="8" t="s">
        <v>10</v>
      </c>
      <c r="D3688" s="9">
        <v>0</v>
      </c>
      <c r="E3688" s="8">
        <v>318</v>
      </c>
    </row>
    <row r="3689" s="3" customFormat="1" ht="18.75" spans="1:5">
      <c r="A3689" s="8" t="str">
        <f t="shared" si="65"/>
        <v>250018</v>
      </c>
      <c r="B3689" s="8" t="str">
        <f>"2561404011105"</f>
        <v>2561404011105</v>
      </c>
      <c r="C3689" s="8" t="s">
        <v>10</v>
      </c>
      <c r="D3689" s="9">
        <v>0</v>
      </c>
      <c r="E3689" s="8">
        <v>318</v>
      </c>
    </row>
    <row r="3690" s="3" customFormat="1" ht="18.75" spans="1:5">
      <c r="A3690" s="8" t="str">
        <f t="shared" si="65"/>
        <v>250018</v>
      </c>
      <c r="B3690" s="8" t="str">
        <f>"2561404011108"</f>
        <v>2561404011108</v>
      </c>
      <c r="C3690" s="8" t="s">
        <v>10</v>
      </c>
      <c r="D3690" s="9">
        <v>0</v>
      </c>
      <c r="E3690" s="8">
        <v>318</v>
      </c>
    </row>
    <row r="3691" s="3" customFormat="1" ht="18.75" spans="1:5">
      <c r="A3691" s="8" t="str">
        <f t="shared" si="65"/>
        <v>250018</v>
      </c>
      <c r="B3691" s="8" t="str">
        <f>"2561404011110"</f>
        <v>2561404011110</v>
      </c>
      <c r="C3691" s="8" t="s">
        <v>10</v>
      </c>
      <c r="D3691" s="9">
        <v>0</v>
      </c>
      <c r="E3691" s="8">
        <v>318</v>
      </c>
    </row>
    <row r="3692" s="3" customFormat="1" ht="18.75" spans="1:5">
      <c r="A3692" s="8" t="str">
        <f t="shared" si="65"/>
        <v>250018</v>
      </c>
      <c r="B3692" s="8" t="str">
        <f>"2561404011111"</f>
        <v>2561404011111</v>
      </c>
      <c r="C3692" s="8" t="s">
        <v>10</v>
      </c>
      <c r="D3692" s="9">
        <v>0</v>
      </c>
      <c r="E3692" s="8">
        <v>318</v>
      </c>
    </row>
    <row r="3693" s="3" customFormat="1" ht="18.75" spans="1:5">
      <c r="A3693" s="8" t="str">
        <f t="shared" si="65"/>
        <v>250018</v>
      </c>
      <c r="B3693" s="8" t="str">
        <f>"2561404011113"</f>
        <v>2561404011113</v>
      </c>
      <c r="C3693" s="8" t="s">
        <v>10</v>
      </c>
      <c r="D3693" s="9">
        <v>0</v>
      </c>
      <c r="E3693" s="8">
        <v>318</v>
      </c>
    </row>
    <row r="3694" s="3" customFormat="1" ht="18.75" spans="1:5">
      <c r="A3694" s="8" t="str">
        <f t="shared" si="65"/>
        <v>250018</v>
      </c>
      <c r="B3694" s="8" t="str">
        <f>"2561404011114"</f>
        <v>2561404011114</v>
      </c>
      <c r="C3694" s="8" t="s">
        <v>10</v>
      </c>
      <c r="D3694" s="9">
        <v>0</v>
      </c>
      <c r="E3694" s="8">
        <v>318</v>
      </c>
    </row>
    <row r="3695" s="3" customFormat="1" ht="18.75" spans="1:5">
      <c r="A3695" s="8" t="str">
        <f t="shared" si="65"/>
        <v>250018</v>
      </c>
      <c r="B3695" s="8" t="str">
        <f>"2561404011116"</f>
        <v>2561404011116</v>
      </c>
      <c r="C3695" s="8" t="s">
        <v>10</v>
      </c>
      <c r="D3695" s="9">
        <v>0</v>
      </c>
      <c r="E3695" s="8">
        <v>318</v>
      </c>
    </row>
    <row r="3696" s="3" customFormat="1" ht="18.75" spans="1:5">
      <c r="A3696" s="8" t="str">
        <f t="shared" si="65"/>
        <v>250018</v>
      </c>
      <c r="B3696" s="8" t="str">
        <f>"2561404011117"</f>
        <v>2561404011117</v>
      </c>
      <c r="C3696" s="8" t="s">
        <v>10</v>
      </c>
      <c r="D3696" s="9">
        <v>0</v>
      </c>
      <c r="E3696" s="8">
        <v>318</v>
      </c>
    </row>
    <row r="3697" s="3" customFormat="1" ht="18.75" spans="1:5">
      <c r="A3697" s="8" t="str">
        <f t="shared" si="65"/>
        <v>250018</v>
      </c>
      <c r="B3697" s="8" t="str">
        <f>"2561404011118"</f>
        <v>2561404011118</v>
      </c>
      <c r="C3697" s="8" t="s">
        <v>10</v>
      </c>
      <c r="D3697" s="9">
        <v>0</v>
      </c>
      <c r="E3697" s="8">
        <v>318</v>
      </c>
    </row>
    <row r="3698" s="3" customFormat="1" ht="18.75" spans="1:5">
      <c r="A3698" s="8" t="str">
        <f t="shared" si="65"/>
        <v>250018</v>
      </c>
      <c r="B3698" s="8" t="str">
        <f>"2561404011120"</f>
        <v>2561404011120</v>
      </c>
      <c r="C3698" s="8" t="s">
        <v>10</v>
      </c>
      <c r="D3698" s="9">
        <v>0</v>
      </c>
      <c r="E3698" s="8">
        <v>318</v>
      </c>
    </row>
    <row r="3699" s="3" customFormat="1" ht="18.75" spans="1:5">
      <c r="A3699" s="8" t="str">
        <f t="shared" si="65"/>
        <v>250018</v>
      </c>
      <c r="B3699" s="8" t="str">
        <f>"2561404011121"</f>
        <v>2561404011121</v>
      </c>
      <c r="C3699" s="8" t="s">
        <v>10</v>
      </c>
      <c r="D3699" s="9">
        <v>0</v>
      </c>
      <c r="E3699" s="8">
        <v>318</v>
      </c>
    </row>
    <row r="3700" s="3" customFormat="1" ht="18.75" spans="1:5">
      <c r="A3700" s="8" t="str">
        <f t="shared" si="65"/>
        <v>250018</v>
      </c>
      <c r="B3700" s="8" t="str">
        <f>"2561404011122"</f>
        <v>2561404011122</v>
      </c>
      <c r="C3700" s="8" t="s">
        <v>10</v>
      </c>
      <c r="D3700" s="9">
        <v>0</v>
      </c>
      <c r="E3700" s="8">
        <v>318</v>
      </c>
    </row>
    <row r="3701" s="3" customFormat="1" ht="18.75" spans="1:5">
      <c r="A3701" s="8" t="str">
        <f t="shared" si="65"/>
        <v>250018</v>
      </c>
      <c r="B3701" s="8" t="str">
        <f>"2561404011123"</f>
        <v>2561404011123</v>
      </c>
      <c r="C3701" s="8" t="s">
        <v>10</v>
      </c>
      <c r="D3701" s="9">
        <v>0</v>
      </c>
      <c r="E3701" s="8">
        <v>318</v>
      </c>
    </row>
    <row r="3702" s="3" customFormat="1" ht="18.75" spans="1:5">
      <c r="A3702" s="8" t="str">
        <f t="shared" si="65"/>
        <v>250018</v>
      </c>
      <c r="B3702" s="8" t="str">
        <f>"2561404011124"</f>
        <v>2561404011124</v>
      </c>
      <c r="C3702" s="8" t="s">
        <v>10</v>
      </c>
      <c r="D3702" s="9">
        <v>0</v>
      </c>
      <c r="E3702" s="8">
        <v>318</v>
      </c>
    </row>
    <row r="3703" s="3" customFormat="1" ht="18.75" spans="1:5">
      <c r="A3703" s="8" t="str">
        <f t="shared" si="65"/>
        <v>250018</v>
      </c>
      <c r="B3703" s="8" t="str">
        <f>"2561404011125"</f>
        <v>2561404011125</v>
      </c>
      <c r="C3703" s="8" t="s">
        <v>10</v>
      </c>
      <c r="D3703" s="9">
        <v>0</v>
      </c>
      <c r="E3703" s="8">
        <v>318</v>
      </c>
    </row>
    <row r="3704" s="3" customFormat="1" ht="18.75" spans="1:5">
      <c r="A3704" s="8" t="str">
        <f t="shared" si="65"/>
        <v>250018</v>
      </c>
      <c r="B3704" s="8" t="str">
        <f>"2561404011126"</f>
        <v>2561404011126</v>
      </c>
      <c r="C3704" s="8" t="s">
        <v>10</v>
      </c>
      <c r="D3704" s="9">
        <v>0</v>
      </c>
      <c r="E3704" s="8">
        <v>318</v>
      </c>
    </row>
    <row r="3705" s="3" customFormat="1" ht="18.75" spans="1:5">
      <c r="A3705" s="8" t="str">
        <f t="shared" si="65"/>
        <v>250018</v>
      </c>
      <c r="B3705" s="8" t="str">
        <f>"2561404011129"</f>
        <v>2561404011129</v>
      </c>
      <c r="C3705" s="8" t="s">
        <v>10</v>
      </c>
      <c r="D3705" s="9">
        <v>0</v>
      </c>
      <c r="E3705" s="8">
        <v>318</v>
      </c>
    </row>
    <row r="3706" s="3" customFormat="1" ht="18.75" spans="1:5">
      <c r="A3706" s="8" t="str">
        <f t="shared" si="65"/>
        <v>250018</v>
      </c>
      <c r="B3706" s="8" t="str">
        <f>"2561404011130"</f>
        <v>2561404011130</v>
      </c>
      <c r="C3706" s="8" t="s">
        <v>10</v>
      </c>
      <c r="D3706" s="9">
        <v>0</v>
      </c>
      <c r="E3706" s="8">
        <v>318</v>
      </c>
    </row>
    <row r="3707" s="3" customFormat="1" ht="18.75" spans="1:5">
      <c r="A3707" s="8" t="str">
        <f t="shared" si="65"/>
        <v>250018</v>
      </c>
      <c r="B3707" s="8" t="str">
        <f>"2561404011202"</f>
        <v>2561404011202</v>
      </c>
      <c r="C3707" s="8" t="s">
        <v>10</v>
      </c>
      <c r="D3707" s="9">
        <v>0</v>
      </c>
      <c r="E3707" s="8">
        <v>318</v>
      </c>
    </row>
    <row r="3708" s="3" customFormat="1" ht="18.75" spans="1:5">
      <c r="A3708" s="8" t="str">
        <f t="shared" si="65"/>
        <v>250018</v>
      </c>
      <c r="B3708" s="8" t="str">
        <f>"2561404011203"</f>
        <v>2561404011203</v>
      </c>
      <c r="C3708" s="8" t="s">
        <v>10</v>
      </c>
      <c r="D3708" s="9">
        <v>0</v>
      </c>
      <c r="E3708" s="8">
        <v>318</v>
      </c>
    </row>
    <row r="3709" s="3" customFormat="1" ht="18.75" spans="1:5">
      <c r="A3709" s="8" t="str">
        <f t="shared" si="65"/>
        <v>250018</v>
      </c>
      <c r="B3709" s="8" t="str">
        <f>"2561404011204"</f>
        <v>2561404011204</v>
      </c>
      <c r="C3709" s="8" t="s">
        <v>10</v>
      </c>
      <c r="D3709" s="9">
        <v>0</v>
      </c>
      <c r="E3709" s="8">
        <v>318</v>
      </c>
    </row>
    <row r="3710" s="3" customFormat="1" ht="18.75" spans="1:5">
      <c r="A3710" s="8" t="str">
        <f t="shared" si="65"/>
        <v>250018</v>
      </c>
      <c r="B3710" s="8" t="str">
        <f>"2561404011205"</f>
        <v>2561404011205</v>
      </c>
      <c r="C3710" s="8" t="s">
        <v>10</v>
      </c>
      <c r="D3710" s="9">
        <v>0</v>
      </c>
      <c r="E3710" s="8">
        <v>318</v>
      </c>
    </row>
    <row r="3711" s="3" customFormat="1" ht="18.75" spans="1:5">
      <c r="A3711" s="8" t="str">
        <f t="shared" si="65"/>
        <v>250018</v>
      </c>
      <c r="B3711" s="8" t="str">
        <f>"2561404011208"</f>
        <v>2561404011208</v>
      </c>
      <c r="C3711" s="8" t="s">
        <v>10</v>
      </c>
      <c r="D3711" s="9">
        <v>0</v>
      </c>
      <c r="E3711" s="8">
        <v>318</v>
      </c>
    </row>
    <row r="3712" s="3" customFormat="1" ht="18.75" spans="1:5">
      <c r="A3712" s="8" t="str">
        <f t="shared" si="65"/>
        <v>250018</v>
      </c>
      <c r="B3712" s="8" t="str">
        <f>"2561404011209"</f>
        <v>2561404011209</v>
      </c>
      <c r="C3712" s="8" t="s">
        <v>10</v>
      </c>
      <c r="D3712" s="9">
        <v>0</v>
      </c>
      <c r="E3712" s="8">
        <v>318</v>
      </c>
    </row>
    <row r="3713" s="3" customFormat="1" ht="18.75" spans="1:5">
      <c r="A3713" s="8" t="str">
        <f t="shared" si="65"/>
        <v>250018</v>
      </c>
      <c r="B3713" s="8" t="str">
        <f>"2561404011211"</f>
        <v>2561404011211</v>
      </c>
      <c r="C3713" s="8" t="s">
        <v>10</v>
      </c>
      <c r="D3713" s="9">
        <v>0</v>
      </c>
      <c r="E3713" s="8">
        <v>318</v>
      </c>
    </row>
    <row r="3714" s="3" customFormat="1" ht="18.75" spans="1:5">
      <c r="A3714" s="8" t="str">
        <f t="shared" si="65"/>
        <v>250018</v>
      </c>
      <c r="B3714" s="8" t="str">
        <f>"2561404011212"</f>
        <v>2561404011212</v>
      </c>
      <c r="C3714" s="8" t="s">
        <v>10</v>
      </c>
      <c r="D3714" s="9">
        <v>0</v>
      </c>
      <c r="E3714" s="8">
        <v>318</v>
      </c>
    </row>
    <row r="3715" s="3" customFormat="1" ht="18.75" spans="1:5">
      <c r="A3715" s="8" t="str">
        <f t="shared" si="65"/>
        <v>250018</v>
      </c>
      <c r="B3715" s="8" t="str">
        <f>"2561404011213"</f>
        <v>2561404011213</v>
      </c>
      <c r="C3715" s="8" t="s">
        <v>10</v>
      </c>
      <c r="D3715" s="9">
        <v>0</v>
      </c>
      <c r="E3715" s="8">
        <v>318</v>
      </c>
    </row>
    <row r="3716" s="3" customFormat="1" ht="18.75" spans="1:5">
      <c r="A3716" s="8" t="str">
        <f t="shared" si="65"/>
        <v>250018</v>
      </c>
      <c r="B3716" s="8" t="str">
        <f>"2561404011214"</f>
        <v>2561404011214</v>
      </c>
      <c r="C3716" s="8" t="s">
        <v>10</v>
      </c>
      <c r="D3716" s="9">
        <v>0</v>
      </c>
      <c r="E3716" s="8">
        <v>318</v>
      </c>
    </row>
    <row r="3717" s="3" customFormat="1" ht="18.75" spans="1:5">
      <c r="A3717" s="8" t="str">
        <f t="shared" si="65"/>
        <v>250018</v>
      </c>
      <c r="B3717" s="8" t="str">
        <f>"2561404011217"</f>
        <v>2561404011217</v>
      </c>
      <c r="C3717" s="8" t="s">
        <v>10</v>
      </c>
      <c r="D3717" s="9">
        <v>0</v>
      </c>
      <c r="E3717" s="8">
        <v>318</v>
      </c>
    </row>
    <row r="3718" s="3" customFormat="1" ht="18.75" spans="1:5">
      <c r="A3718" s="8" t="str">
        <f t="shared" si="65"/>
        <v>250018</v>
      </c>
      <c r="B3718" s="8" t="str">
        <f>"2561404011218"</f>
        <v>2561404011218</v>
      </c>
      <c r="C3718" s="8" t="s">
        <v>10</v>
      </c>
      <c r="D3718" s="9">
        <v>0</v>
      </c>
      <c r="E3718" s="8">
        <v>318</v>
      </c>
    </row>
    <row r="3719" s="3" customFormat="1" ht="18.75" spans="1:5">
      <c r="A3719" s="8" t="str">
        <f t="shared" si="65"/>
        <v>250018</v>
      </c>
      <c r="B3719" s="8" t="str">
        <f>"2561404011220"</f>
        <v>2561404011220</v>
      </c>
      <c r="C3719" s="8" t="s">
        <v>10</v>
      </c>
      <c r="D3719" s="9">
        <v>0</v>
      </c>
      <c r="E3719" s="8">
        <v>318</v>
      </c>
    </row>
    <row r="3720" s="3" customFormat="1" ht="18.75" spans="1:5">
      <c r="A3720" s="8" t="str">
        <f t="shared" si="65"/>
        <v>250018</v>
      </c>
      <c r="B3720" s="8" t="str">
        <f>"2561404011221"</f>
        <v>2561404011221</v>
      </c>
      <c r="C3720" s="8" t="s">
        <v>10</v>
      </c>
      <c r="D3720" s="9">
        <v>0</v>
      </c>
      <c r="E3720" s="8">
        <v>318</v>
      </c>
    </row>
    <row r="3721" s="3" customFormat="1" ht="18.75" spans="1:5">
      <c r="A3721" s="8" t="str">
        <f t="shared" si="65"/>
        <v>250018</v>
      </c>
      <c r="B3721" s="8" t="str">
        <f>"2561404011222"</f>
        <v>2561404011222</v>
      </c>
      <c r="C3721" s="8" t="s">
        <v>10</v>
      </c>
      <c r="D3721" s="9">
        <v>0</v>
      </c>
      <c r="E3721" s="8">
        <v>318</v>
      </c>
    </row>
    <row r="3722" s="3" customFormat="1" ht="18.75" spans="1:5">
      <c r="A3722" s="8" t="str">
        <f t="shared" si="65"/>
        <v>250018</v>
      </c>
      <c r="B3722" s="8" t="str">
        <f>"2561404011223"</f>
        <v>2561404011223</v>
      </c>
      <c r="C3722" s="8" t="s">
        <v>10</v>
      </c>
      <c r="D3722" s="9">
        <v>0</v>
      </c>
      <c r="E3722" s="8">
        <v>318</v>
      </c>
    </row>
    <row r="3723" s="3" customFormat="1" ht="18.75" spans="1:5">
      <c r="A3723" s="8" t="str">
        <f t="shared" si="65"/>
        <v>250018</v>
      </c>
      <c r="B3723" s="8" t="str">
        <f>"2561404011224"</f>
        <v>2561404011224</v>
      </c>
      <c r="C3723" s="8" t="s">
        <v>10</v>
      </c>
      <c r="D3723" s="9">
        <v>0</v>
      </c>
      <c r="E3723" s="8">
        <v>318</v>
      </c>
    </row>
    <row r="3724" s="3" customFormat="1" ht="18.75" spans="1:5">
      <c r="A3724" s="8" t="str">
        <f t="shared" si="65"/>
        <v>250018</v>
      </c>
      <c r="B3724" s="8" t="str">
        <f>"2561404011227"</f>
        <v>2561404011227</v>
      </c>
      <c r="C3724" s="8" t="s">
        <v>10</v>
      </c>
      <c r="D3724" s="9">
        <v>0</v>
      </c>
      <c r="E3724" s="8">
        <v>318</v>
      </c>
    </row>
    <row r="3725" s="3" customFormat="1" ht="18.75" spans="1:5">
      <c r="A3725" s="8" t="str">
        <f t="shared" si="65"/>
        <v>250018</v>
      </c>
      <c r="B3725" s="8" t="str">
        <f>"2561404011229"</f>
        <v>2561404011229</v>
      </c>
      <c r="C3725" s="8" t="s">
        <v>10</v>
      </c>
      <c r="D3725" s="9">
        <v>0</v>
      </c>
      <c r="E3725" s="8">
        <v>318</v>
      </c>
    </row>
    <row r="3726" s="3" customFormat="1" ht="18.75" spans="1:5">
      <c r="A3726" s="8" t="str">
        <f t="shared" si="65"/>
        <v>250018</v>
      </c>
      <c r="B3726" s="8" t="str">
        <f>"2561404011301"</f>
        <v>2561404011301</v>
      </c>
      <c r="C3726" s="8" t="s">
        <v>10</v>
      </c>
      <c r="D3726" s="9">
        <v>0</v>
      </c>
      <c r="E3726" s="8">
        <v>318</v>
      </c>
    </row>
    <row r="3727" s="3" customFormat="1" ht="18.75" spans="1:5">
      <c r="A3727" s="8" t="str">
        <f t="shared" si="65"/>
        <v>250018</v>
      </c>
      <c r="B3727" s="8" t="str">
        <f>"2561404011302"</f>
        <v>2561404011302</v>
      </c>
      <c r="C3727" s="8" t="s">
        <v>10</v>
      </c>
      <c r="D3727" s="9">
        <v>0</v>
      </c>
      <c r="E3727" s="8">
        <v>318</v>
      </c>
    </row>
    <row r="3728" s="3" customFormat="1" ht="18.75" spans="1:5">
      <c r="A3728" s="8" t="str">
        <f t="shared" si="65"/>
        <v>250018</v>
      </c>
      <c r="B3728" s="8" t="str">
        <f>"2561404011303"</f>
        <v>2561404011303</v>
      </c>
      <c r="C3728" s="8" t="s">
        <v>10</v>
      </c>
      <c r="D3728" s="9">
        <v>0</v>
      </c>
      <c r="E3728" s="8">
        <v>318</v>
      </c>
    </row>
    <row r="3729" s="3" customFormat="1" ht="18.75" spans="1:5">
      <c r="A3729" s="8" t="str">
        <f t="shared" si="65"/>
        <v>250018</v>
      </c>
      <c r="B3729" s="8" t="str">
        <f>"2561404011304"</f>
        <v>2561404011304</v>
      </c>
      <c r="C3729" s="8" t="s">
        <v>10</v>
      </c>
      <c r="D3729" s="9">
        <v>0</v>
      </c>
      <c r="E3729" s="8">
        <v>318</v>
      </c>
    </row>
    <row r="3730" s="3" customFormat="1" ht="18.75" spans="1:5">
      <c r="A3730" s="8" t="str">
        <f t="shared" si="65"/>
        <v>250018</v>
      </c>
      <c r="B3730" s="8" t="str">
        <f>"2561404011305"</f>
        <v>2561404011305</v>
      </c>
      <c r="C3730" s="8" t="s">
        <v>10</v>
      </c>
      <c r="D3730" s="9">
        <v>0</v>
      </c>
      <c r="E3730" s="8">
        <v>318</v>
      </c>
    </row>
    <row r="3731" s="3" customFormat="1" ht="18.75" spans="1:5">
      <c r="A3731" s="8" t="str">
        <f t="shared" si="65"/>
        <v>250018</v>
      </c>
      <c r="B3731" s="8" t="str">
        <f>"2561404011308"</f>
        <v>2561404011308</v>
      </c>
      <c r="C3731" s="8" t="s">
        <v>10</v>
      </c>
      <c r="D3731" s="9">
        <v>0</v>
      </c>
      <c r="E3731" s="8">
        <v>318</v>
      </c>
    </row>
    <row r="3732" s="3" customFormat="1" ht="18.75" spans="1:5">
      <c r="A3732" s="8" t="str">
        <f t="shared" si="65"/>
        <v>250018</v>
      </c>
      <c r="B3732" s="8" t="str">
        <f>"2561404011310"</f>
        <v>2561404011310</v>
      </c>
      <c r="C3732" s="8" t="s">
        <v>10</v>
      </c>
      <c r="D3732" s="9">
        <v>0</v>
      </c>
      <c r="E3732" s="8">
        <v>318</v>
      </c>
    </row>
    <row r="3733" s="3" customFormat="1" ht="18.75" spans="1:5">
      <c r="A3733" s="8" t="str">
        <f t="shared" si="65"/>
        <v>250018</v>
      </c>
      <c r="B3733" s="8" t="str">
        <f>"2561404011313"</f>
        <v>2561404011313</v>
      </c>
      <c r="C3733" s="8" t="s">
        <v>10</v>
      </c>
      <c r="D3733" s="9">
        <v>0</v>
      </c>
      <c r="E3733" s="8">
        <v>318</v>
      </c>
    </row>
    <row r="3734" s="3" customFormat="1" ht="18.75" spans="1:5">
      <c r="A3734" s="8" t="str">
        <f t="shared" si="65"/>
        <v>250018</v>
      </c>
      <c r="B3734" s="8" t="str">
        <f>"2561404011315"</f>
        <v>2561404011315</v>
      </c>
      <c r="C3734" s="8" t="s">
        <v>10</v>
      </c>
      <c r="D3734" s="9">
        <v>0</v>
      </c>
      <c r="E3734" s="8">
        <v>318</v>
      </c>
    </row>
    <row r="3735" s="3" customFormat="1" ht="18.75" spans="1:5">
      <c r="A3735" s="8" t="str">
        <f t="shared" si="65"/>
        <v>250018</v>
      </c>
      <c r="B3735" s="8" t="str">
        <f>"2561404011316"</f>
        <v>2561404011316</v>
      </c>
      <c r="C3735" s="8" t="s">
        <v>10</v>
      </c>
      <c r="D3735" s="9">
        <v>0</v>
      </c>
      <c r="E3735" s="8">
        <v>318</v>
      </c>
    </row>
    <row r="3736" s="3" customFormat="1" ht="18.75" spans="1:5">
      <c r="A3736" s="8" t="str">
        <f t="shared" si="65"/>
        <v>250018</v>
      </c>
      <c r="B3736" s="8" t="str">
        <f>"2561404011318"</f>
        <v>2561404011318</v>
      </c>
      <c r="C3736" s="8" t="s">
        <v>10</v>
      </c>
      <c r="D3736" s="9">
        <v>0</v>
      </c>
      <c r="E3736" s="8">
        <v>318</v>
      </c>
    </row>
    <row r="3737" s="3" customFormat="1" ht="18.75" spans="1:5">
      <c r="A3737" s="8" t="str">
        <f t="shared" si="65"/>
        <v>250018</v>
      </c>
      <c r="B3737" s="8" t="str">
        <f>"2561404011319"</f>
        <v>2561404011319</v>
      </c>
      <c r="C3737" s="8" t="s">
        <v>10</v>
      </c>
      <c r="D3737" s="9">
        <v>0</v>
      </c>
      <c r="E3737" s="8">
        <v>318</v>
      </c>
    </row>
    <row r="3738" s="3" customFormat="1" ht="18.75" spans="1:5">
      <c r="A3738" s="8" t="str">
        <f t="shared" si="65"/>
        <v>250018</v>
      </c>
      <c r="B3738" s="8" t="str">
        <f>"2561404011320"</f>
        <v>2561404011320</v>
      </c>
      <c r="C3738" s="8" t="s">
        <v>10</v>
      </c>
      <c r="D3738" s="9">
        <v>0</v>
      </c>
      <c r="E3738" s="8">
        <v>318</v>
      </c>
    </row>
    <row r="3739" s="3" customFormat="1" ht="18.75" spans="1:5">
      <c r="A3739" s="8" t="str">
        <f t="shared" si="65"/>
        <v>250018</v>
      </c>
      <c r="B3739" s="8" t="str">
        <f>"2561404011321"</f>
        <v>2561404011321</v>
      </c>
      <c r="C3739" s="8" t="s">
        <v>10</v>
      </c>
      <c r="D3739" s="9">
        <v>0</v>
      </c>
      <c r="E3739" s="8">
        <v>318</v>
      </c>
    </row>
    <row r="3740" s="3" customFormat="1" ht="18.75" spans="1:5">
      <c r="A3740" s="8" t="str">
        <f t="shared" si="65"/>
        <v>250018</v>
      </c>
      <c r="B3740" s="8" t="str">
        <f>"2561404011322"</f>
        <v>2561404011322</v>
      </c>
      <c r="C3740" s="8" t="s">
        <v>10</v>
      </c>
      <c r="D3740" s="9">
        <v>0</v>
      </c>
      <c r="E3740" s="8">
        <v>318</v>
      </c>
    </row>
    <row r="3741" s="3" customFormat="1" ht="18.75" spans="1:5">
      <c r="A3741" s="8" t="str">
        <f t="shared" si="65"/>
        <v>250018</v>
      </c>
      <c r="B3741" s="8" t="str">
        <f>"2561404011325"</f>
        <v>2561404011325</v>
      </c>
      <c r="C3741" s="8" t="s">
        <v>10</v>
      </c>
      <c r="D3741" s="9">
        <v>0</v>
      </c>
      <c r="E3741" s="8">
        <v>318</v>
      </c>
    </row>
    <row r="3742" s="3" customFormat="1" ht="18.75" spans="1:5">
      <c r="A3742" s="8" t="str">
        <f t="shared" si="65"/>
        <v>250018</v>
      </c>
      <c r="B3742" s="8" t="str">
        <f>"2561404011326"</f>
        <v>2561404011326</v>
      </c>
      <c r="C3742" s="8" t="s">
        <v>10</v>
      </c>
      <c r="D3742" s="9">
        <v>0</v>
      </c>
      <c r="E3742" s="8">
        <v>318</v>
      </c>
    </row>
    <row r="3743" s="3" customFormat="1" ht="18.75" spans="1:5">
      <c r="A3743" s="8" t="str">
        <f t="shared" si="65"/>
        <v>250018</v>
      </c>
      <c r="B3743" s="8" t="str">
        <f>"2561404011328"</f>
        <v>2561404011328</v>
      </c>
      <c r="C3743" s="8" t="s">
        <v>10</v>
      </c>
      <c r="D3743" s="9">
        <v>0</v>
      </c>
      <c r="E3743" s="8">
        <v>318</v>
      </c>
    </row>
    <row r="3744" s="3" customFormat="1" ht="18.75" spans="1:5">
      <c r="A3744" s="8" t="str">
        <f t="shared" si="65"/>
        <v>250018</v>
      </c>
      <c r="B3744" s="8" t="str">
        <f>"2561404011329"</f>
        <v>2561404011329</v>
      </c>
      <c r="C3744" s="8" t="s">
        <v>10</v>
      </c>
      <c r="D3744" s="9">
        <v>0</v>
      </c>
      <c r="E3744" s="8">
        <v>318</v>
      </c>
    </row>
    <row r="3745" s="3" customFormat="1" ht="18.75" spans="1:5">
      <c r="A3745" s="8" t="str">
        <f t="shared" si="65"/>
        <v>250018</v>
      </c>
      <c r="B3745" s="8" t="str">
        <f>"2561404011330"</f>
        <v>2561404011330</v>
      </c>
      <c r="C3745" s="8" t="s">
        <v>10</v>
      </c>
      <c r="D3745" s="9">
        <v>0</v>
      </c>
      <c r="E3745" s="8">
        <v>318</v>
      </c>
    </row>
    <row r="3746" s="3" customFormat="1" ht="18.75" spans="1:5">
      <c r="A3746" s="8" t="str">
        <f t="shared" si="65"/>
        <v>250018</v>
      </c>
      <c r="B3746" s="8" t="str">
        <f>"2561404011401"</f>
        <v>2561404011401</v>
      </c>
      <c r="C3746" s="8" t="s">
        <v>10</v>
      </c>
      <c r="D3746" s="9">
        <v>0</v>
      </c>
      <c r="E3746" s="8">
        <v>318</v>
      </c>
    </row>
    <row r="3747" s="3" customFormat="1" ht="18.75" spans="1:5">
      <c r="A3747" s="8" t="str">
        <f t="shared" si="65"/>
        <v>250018</v>
      </c>
      <c r="B3747" s="8" t="str">
        <f>"2561404011403"</f>
        <v>2561404011403</v>
      </c>
      <c r="C3747" s="8" t="s">
        <v>10</v>
      </c>
      <c r="D3747" s="9">
        <v>0</v>
      </c>
      <c r="E3747" s="8">
        <v>318</v>
      </c>
    </row>
    <row r="3748" s="3" customFormat="1" ht="18.75" spans="1:5">
      <c r="A3748" s="8" t="str">
        <f t="shared" si="65"/>
        <v>250018</v>
      </c>
      <c r="B3748" s="8" t="str">
        <f>"2561404011404"</f>
        <v>2561404011404</v>
      </c>
      <c r="C3748" s="8" t="s">
        <v>10</v>
      </c>
      <c r="D3748" s="9">
        <v>0</v>
      </c>
      <c r="E3748" s="8">
        <v>318</v>
      </c>
    </row>
    <row r="3749" s="3" customFormat="1" ht="18.75" spans="1:5">
      <c r="A3749" s="8" t="str">
        <f t="shared" si="65"/>
        <v>250018</v>
      </c>
      <c r="B3749" s="8" t="str">
        <f>"2561404011405"</f>
        <v>2561404011405</v>
      </c>
      <c r="C3749" s="8" t="s">
        <v>10</v>
      </c>
      <c r="D3749" s="9">
        <v>0</v>
      </c>
      <c r="E3749" s="8">
        <v>318</v>
      </c>
    </row>
    <row r="3750" s="3" customFormat="1" ht="18.75" spans="1:5">
      <c r="A3750" s="8" t="str">
        <f t="shared" si="65"/>
        <v>250018</v>
      </c>
      <c r="B3750" s="8" t="str">
        <f>"2561404011406"</f>
        <v>2561404011406</v>
      </c>
      <c r="C3750" s="8" t="s">
        <v>10</v>
      </c>
      <c r="D3750" s="9">
        <v>0</v>
      </c>
      <c r="E3750" s="8">
        <v>318</v>
      </c>
    </row>
    <row r="3751" s="3" customFormat="1" ht="18.75" spans="1:5">
      <c r="A3751" s="8" t="str">
        <f t="shared" si="65"/>
        <v>250018</v>
      </c>
      <c r="B3751" s="8" t="str">
        <f>"2561404011407"</f>
        <v>2561404011407</v>
      </c>
      <c r="C3751" s="8" t="s">
        <v>10</v>
      </c>
      <c r="D3751" s="9">
        <v>0</v>
      </c>
      <c r="E3751" s="8">
        <v>318</v>
      </c>
    </row>
    <row r="3752" s="3" customFormat="1" ht="18.75" spans="1:5">
      <c r="A3752" s="8" t="str">
        <f t="shared" ref="A3752:A3815" si="66">"250018"</f>
        <v>250018</v>
      </c>
      <c r="B3752" s="8" t="str">
        <f>"2561404011409"</f>
        <v>2561404011409</v>
      </c>
      <c r="C3752" s="8" t="s">
        <v>10</v>
      </c>
      <c r="D3752" s="9">
        <v>0</v>
      </c>
      <c r="E3752" s="8">
        <v>318</v>
      </c>
    </row>
    <row r="3753" s="3" customFormat="1" ht="18.75" spans="1:5">
      <c r="A3753" s="8" t="str">
        <f t="shared" si="66"/>
        <v>250018</v>
      </c>
      <c r="B3753" s="8" t="str">
        <f>"2561404011410"</f>
        <v>2561404011410</v>
      </c>
      <c r="C3753" s="8" t="s">
        <v>10</v>
      </c>
      <c r="D3753" s="9">
        <v>0</v>
      </c>
      <c r="E3753" s="8">
        <v>318</v>
      </c>
    </row>
    <row r="3754" s="3" customFormat="1" ht="18.75" spans="1:5">
      <c r="A3754" s="8" t="str">
        <f t="shared" si="66"/>
        <v>250018</v>
      </c>
      <c r="B3754" s="8" t="str">
        <f>"2561404011413"</f>
        <v>2561404011413</v>
      </c>
      <c r="C3754" s="8" t="s">
        <v>10</v>
      </c>
      <c r="D3754" s="9">
        <v>0</v>
      </c>
      <c r="E3754" s="8">
        <v>318</v>
      </c>
    </row>
    <row r="3755" s="3" customFormat="1" ht="18.75" spans="1:5">
      <c r="A3755" s="8" t="str">
        <f t="shared" si="66"/>
        <v>250018</v>
      </c>
      <c r="B3755" s="8" t="str">
        <f>"2561404011414"</f>
        <v>2561404011414</v>
      </c>
      <c r="C3755" s="8" t="s">
        <v>10</v>
      </c>
      <c r="D3755" s="9">
        <v>0</v>
      </c>
      <c r="E3755" s="8">
        <v>318</v>
      </c>
    </row>
    <row r="3756" s="3" customFormat="1" ht="18.75" spans="1:5">
      <c r="A3756" s="8" t="str">
        <f t="shared" si="66"/>
        <v>250018</v>
      </c>
      <c r="B3756" s="8" t="str">
        <f>"2561404011418"</f>
        <v>2561404011418</v>
      </c>
      <c r="C3756" s="8" t="s">
        <v>10</v>
      </c>
      <c r="D3756" s="9">
        <v>0</v>
      </c>
      <c r="E3756" s="8">
        <v>318</v>
      </c>
    </row>
    <row r="3757" s="3" customFormat="1" ht="18.75" spans="1:5">
      <c r="A3757" s="8" t="str">
        <f t="shared" si="66"/>
        <v>250018</v>
      </c>
      <c r="B3757" s="8" t="str">
        <f>"2561404011420"</f>
        <v>2561404011420</v>
      </c>
      <c r="C3757" s="8" t="s">
        <v>10</v>
      </c>
      <c r="D3757" s="9">
        <v>0</v>
      </c>
      <c r="E3757" s="8">
        <v>318</v>
      </c>
    </row>
    <row r="3758" s="3" customFormat="1" ht="18.75" spans="1:5">
      <c r="A3758" s="8" t="str">
        <f t="shared" si="66"/>
        <v>250018</v>
      </c>
      <c r="B3758" s="8" t="str">
        <f>"2561404011421"</f>
        <v>2561404011421</v>
      </c>
      <c r="C3758" s="8" t="s">
        <v>10</v>
      </c>
      <c r="D3758" s="9">
        <v>0</v>
      </c>
      <c r="E3758" s="8">
        <v>318</v>
      </c>
    </row>
    <row r="3759" s="3" customFormat="1" ht="18.75" spans="1:5">
      <c r="A3759" s="8" t="str">
        <f t="shared" si="66"/>
        <v>250018</v>
      </c>
      <c r="B3759" s="8" t="str">
        <f>"2561404011424"</f>
        <v>2561404011424</v>
      </c>
      <c r="C3759" s="8" t="s">
        <v>10</v>
      </c>
      <c r="D3759" s="9">
        <v>0</v>
      </c>
      <c r="E3759" s="8">
        <v>318</v>
      </c>
    </row>
    <row r="3760" s="3" customFormat="1" ht="18.75" spans="1:5">
      <c r="A3760" s="8" t="str">
        <f t="shared" si="66"/>
        <v>250018</v>
      </c>
      <c r="B3760" s="8" t="str">
        <f>"2561404011427"</f>
        <v>2561404011427</v>
      </c>
      <c r="C3760" s="8" t="s">
        <v>10</v>
      </c>
      <c r="D3760" s="9">
        <v>0</v>
      </c>
      <c r="E3760" s="8">
        <v>318</v>
      </c>
    </row>
    <row r="3761" s="3" customFormat="1" ht="18.75" spans="1:5">
      <c r="A3761" s="8" t="str">
        <f t="shared" si="66"/>
        <v>250018</v>
      </c>
      <c r="B3761" s="8" t="str">
        <f>"2561404011428"</f>
        <v>2561404011428</v>
      </c>
      <c r="C3761" s="8" t="s">
        <v>10</v>
      </c>
      <c r="D3761" s="9">
        <v>0</v>
      </c>
      <c r="E3761" s="8">
        <v>318</v>
      </c>
    </row>
    <row r="3762" s="3" customFormat="1" ht="18.75" spans="1:5">
      <c r="A3762" s="8" t="str">
        <f t="shared" si="66"/>
        <v>250018</v>
      </c>
      <c r="B3762" s="8" t="str">
        <f>"2561404011501"</f>
        <v>2561404011501</v>
      </c>
      <c r="C3762" s="8" t="s">
        <v>10</v>
      </c>
      <c r="D3762" s="9">
        <v>0</v>
      </c>
      <c r="E3762" s="8">
        <v>318</v>
      </c>
    </row>
    <row r="3763" s="3" customFormat="1" ht="18.75" spans="1:5">
      <c r="A3763" s="8" t="str">
        <f t="shared" si="66"/>
        <v>250018</v>
      </c>
      <c r="B3763" s="8" t="str">
        <f>"2561404011503"</f>
        <v>2561404011503</v>
      </c>
      <c r="C3763" s="8" t="s">
        <v>10</v>
      </c>
      <c r="D3763" s="9">
        <v>0</v>
      </c>
      <c r="E3763" s="8">
        <v>318</v>
      </c>
    </row>
    <row r="3764" s="3" customFormat="1" ht="18.75" spans="1:5">
      <c r="A3764" s="8" t="str">
        <f t="shared" si="66"/>
        <v>250018</v>
      </c>
      <c r="B3764" s="8" t="str">
        <f>"2561404011504"</f>
        <v>2561404011504</v>
      </c>
      <c r="C3764" s="8" t="s">
        <v>10</v>
      </c>
      <c r="D3764" s="9">
        <v>0</v>
      </c>
      <c r="E3764" s="8">
        <v>318</v>
      </c>
    </row>
    <row r="3765" s="3" customFormat="1" ht="18.75" spans="1:5">
      <c r="A3765" s="8" t="str">
        <f t="shared" si="66"/>
        <v>250018</v>
      </c>
      <c r="B3765" s="8" t="str">
        <f>"2561404011505"</f>
        <v>2561404011505</v>
      </c>
      <c r="C3765" s="8" t="s">
        <v>10</v>
      </c>
      <c r="D3765" s="9">
        <v>0</v>
      </c>
      <c r="E3765" s="8">
        <v>318</v>
      </c>
    </row>
    <row r="3766" s="3" customFormat="1" ht="18.75" spans="1:5">
      <c r="A3766" s="8" t="str">
        <f t="shared" si="66"/>
        <v>250018</v>
      </c>
      <c r="B3766" s="8" t="str">
        <f>"2561404011506"</f>
        <v>2561404011506</v>
      </c>
      <c r="C3766" s="8" t="s">
        <v>10</v>
      </c>
      <c r="D3766" s="9">
        <v>0</v>
      </c>
      <c r="E3766" s="8">
        <v>318</v>
      </c>
    </row>
    <row r="3767" s="3" customFormat="1" ht="18.75" spans="1:5">
      <c r="A3767" s="8" t="str">
        <f t="shared" si="66"/>
        <v>250018</v>
      </c>
      <c r="B3767" s="8" t="str">
        <f>"2561404011507"</f>
        <v>2561404011507</v>
      </c>
      <c r="C3767" s="8" t="s">
        <v>10</v>
      </c>
      <c r="D3767" s="9">
        <v>0</v>
      </c>
      <c r="E3767" s="8">
        <v>318</v>
      </c>
    </row>
    <row r="3768" s="3" customFormat="1" ht="18.75" spans="1:5">
      <c r="A3768" s="8" t="str">
        <f t="shared" si="66"/>
        <v>250018</v>
      </c>
      <c r="B3768" s="8" t="str">
        <f>"2561404011509"</f>
        <v>2561404011509</v>
      </c>
      <c r="C3768" s="8" t="s">
        <v>10</v>
      </c>
      <c r="D3768" s="9">
        <v>0</v>
      </c>
      <c r="E3768" s="8">
        <v>318</v>
      </c>
    </row>
    <row r="3769" s="3" customFormat="1" ht="18.75" spans="1:5">
      <c r="A3769" s="8" t="str">
        <f t="shared" si="66"/>
        <v>250018</v>
      </c>
      <c r="B3769" s="8" t="str">
        <f>"2561404011510"</f>
        <v>2561404011510</v>
      </c>
      <c r="C3769" s="8" t="s">
        <v>10</v>
      </c>
      <c r="D3769" s="9">
        <v>0</v>
      </c>
      <c r="E3769" s="8">
        <v>318</v>
      </c>
    </row>
    <row r="3770" s="3" customFormat="1" ht="18.75" spans="1:5">
      <c r="A3770" s="8" t="str">
        <f t="shared" si="66"/>
        <v>250018</v>
      </c>
      <c r="B3770" s="8" t="str">
        <f>"2561404011512"</f>
        <v>2561404011512</v>
      </c>
      <c r="C3770" s="8" t="s">
        <v>10</v>
      </c>
      <c r="D3770" s="9">
        <v>0</v>
      </c>
      <c r="E3770" s="8">
        <v>318</v>
      </c>
    </row>
    <row r="3771" s="3" customFormat="1" ht="18.75" spans="1:5">
      <c r="A3771" s="8" t="str">
        <f t="shared" si="66"/>
        <v>250018</v>
      </c>
      <c r="B3771" s="8" t="str">
        <f>"2561404011514"</f>
        <v>2561404011514</v>
      </c>
      <c r="C3771" s="8" t="s">
        <v>10</v>
      </c>
      <c r="D3771" s="9">
        <v>0</v>
      </c>
      <c r="E3771" s="8">
        <v>318</v>
      </c>
    </row>
    <row r="3772" s="3" customFormat="1" ht="18.75" spans="1:5">
      <c r="A3772" s="8" t="str">
        <f t="shared" si="66"/>
        <v>250018</v>
      </c>
      <c r="B3772" s="8" t="str">
        <f>"2561404011515"</f>
        <v>2561404011515</v>
      </c>
      <c r="C3772" s="8" t="s">
        <v>10</v>
      </c>
      <c r="D3772" s="9">
        <v>0</v>
      </c>
      <c r="E3772" s="8">
        <v>318</v>
      </c>
    </row>
    <row r="3773" s="3" customFormat="1" ht="18.75" spans="1:5">
      <c r="A3773" s="8" t="str">
        <f t="shared" si="66"/>
        <v>250018</v>
      </c>
      <c r="B3773" s="8" t="str">
        <f>"2561404011516"</f>
        <v>2561404011516</v>
      </c>
      <c r="C3773" s="8" t="s">
        <v>10</v>
      </c>
      <c r="D3773" s="9">
        <v>0</v>
      </c>
      <c r="E3773" s="8">
        <v>318</v>
      </c>
    </row>
    <row r="3774" s="3" customFormat="1" ht="18.75" spans="1:5">
      <c r="A3774" s="8" t="str">
        <f t="shared" si="66"/>
        <v>250018</v>
      </c>
      <c r="B3774" s="8" t="str">
        <f>"2561404011517"</f>
        <v>2561404011517</v>
      </c>
      <c r="C3774" s="8" t="s">
        <v>10</v>
      </c>
      <c r="D3774" s="9">
        <v>0</v>
      </c>
      <c r="E3774" s="8">
        <v>318</v>
      </c>
    </row>
    <row r="3775" s="3" customFormat="1" ht="18.75" spans="1:5">
      <c r="A3775" s="8" t="str">
        <f t="shared" si="66"/>
        <v>250018</v>
      </c>
      <c r="B3775" s="8" t="str">
        <f>"2561404011518"</f>
        <v>2561404011518</v>
      </c>
      <c r="C3775" s="8" t="s">
        <v>10</v>
      </c>
      <c r="D3775" s="9">
        <v>0</v>
      </c>
      <c r="E3775" s="8">
        <v>318</v>
      </c>
    </row>
    <row r="3776" s="3" customFormat="1" ht="18.75" spans="1:5">
      <c r="A3776" s="8" t="str">
        <f t="shared" si="66"/>
        <v>250018</v>
      </c>
      <c r="B3776" s="8" t="str">
        <f>"2561404011521"</f>
        <v>2561404011521</v>
      </c>
      <c r="C3776" s="8" t="s">
        <v>10</v>
      </c>
      <c r="D3776" s="9">
        <v>0</v>
      </c>
      <c r="E3776" s="8">
        <v>318</v>
      </c>
    </row>
    <row r="3777" s="3" customFormat="1" ht="18.75" spans="1:5">
      <c r="A3777" s="8" t="str">
        <f t="shared" si="66"/>
        <v>250018</v>
      </c>
      <c r="B3777" s="8" t="str">
        <f>"2561404011523"</f>
        <v>2561404011523</v>
      </c>
      <c r="C3777" s="8" t="s">
        <v>10</v>
      </c>
      <c r="D3777" s="9">
        <v>0</v>
      </c>
      <c r="E3777" s="8">
        <v>318</v>
      </c>
    </row>
    <row r="3778" s="3" customFormat="1" ht="18.75" spans="1:5">
      <c r="A3778" s="8" t="str">
        <f t="shared" si="66"/>
        <v>250018</v>
      </c>
      <c r="B3778" s="8" t="str">
        <f>"2561404011524"</f>
        <v>2561404011524</v>
      </c>
      <c r="C3778" s="8" t="s">
        <v>10</v>
      </c>
      <c r="D3778" s="9">
        <v>0</v>
      </c>
      <c r="E3778" s="8">
        <v>318</v>
      </c>
    </row>
    <row r="3779" s="3" customFormat="1" ht="18.75" spans="1:5">
      <c r="A3779" s="8" t="str">
        <f t="shared" si="66"/>
        <v>250018</v>
      </c>
      <c r="B3779" s="8" t="str">
        <f>"2561404011525"</f>
        <v>2561404011525</v>
      </c>
      <c r="C3779" s="8" t="s">
        <v>10</v>
      </c>
      <c r="D3779" s="9">
        <v>0</v>
      </c>
      <c r="E3779" s="8">
        <v>318</v>
      </c>
    </row>
    <row r="3780" s="3" customFormat="1" ht="18.75" spans="1:5">
      <c r="A3780" s="8" t="str">
        <f t="shared" si="66"/>
        <v>250018</v>
      </c>
      <c r="B3780" s="8" t="str">
        <f>"2561404011527"</f>
        <v>2561404011527</v>
      </c>
      <c r="C3780" s="8" t="s">
        <v>10</v>
      </c>
      <c r="D3780" s="9">
        <v>0</v>
      </c>
      <c r="E3780" s="8">
        <v>318</v>
      </c>
    </row>
    <row r="3781" s="3" customFormat="1" ht="18.75" spans="1:5">
      <c r="A3781" s="8" t="str">
        <f t="shared" si="66"/>
        <v>250018</v>
      </c>
      <c r="B3781" s="8" t="str">
        <f>"2561404011528"</f>
        <v>2561404011528</v>
      </c>
      <c r="C3781" s="8" t="s">
        <v>10</v>
      </c>
      <c r="D3781" s="9">
        <v>0</v>
      </c>
      <c r="E3781" s="8">
        <v>318</v>
      </c>
    </row>
    <row r="3782" s="3" customFormat="1" ht="18.75" spans="1:5">
      <c r="A3782" s="8" t="str">
        <f t="shared" si="66"/>
        <v>250018</v>
      </c>
      <c r="B3782" s="8" t="str">
        <f>"2561404011530"</f>
        <v>2561404011530</v>
      </c>
      <c r="C3782" s="8" t="s">
        <v>10</v>
      </c>
      <c r="D3782" s="9">
        <v>0</v>
      </c>
      <c r="E3782" s="8">
        <v>318</v>
      </c>
    </row>
    <row r="3783" s="3" customFormat="1" ht="18.75" spans="1:5">
      <c r="A3783" s="8" t="str">
        <f t="shared" si="66"/>
        <v>250018</v>
      </c>
      <c r="B3783" s="8" t="str">
        <f>"2561404011604"</f>
        <v>2561404011604</v>
      </c>
      <c r="C3783" s="8" t="s">
        <v>10</v>
      </c>
      <c r="D3783" s="9">
        <v>0</v>
      </c>
      <c r="E3783" s="8">
        <v>318</v>
      </c>
    </row>
    <row r="3784" s="3" customFormat="1" ht="18.75" spans="1:5">
      <c r="A3784" s="8" t="str">
        <f t="shared" si="66"/>
        <v>250018</v>
      </c>
      <c r="B3784" s="8" t="str">
        <f>"2561404011605"</f>
        <v>2561404011605</v>
      </c>
      <c r="C3784" s="8" t="s">
        <v>10</v>
      </c>
      <c r="D3784" s="9">
        <v>0</v>
      </c>
      <c r="E3784" s="8">
        <v>318</v>
      </c>
    </row>
    <row r="3785" s="3" customFormat="1" ht="18.75" spans="1:5">
      <c r="A3785" s="8" t="str">
        <f t="shared" si="66"/>
        <v>250018</v>
      </c>
      <c r="B3785" s="8" t="str">
        <f>"2561404011607"</f>
        <v>2561404011607</v>
      </c>
      <c r="C3785" s="8" t="s">
        <v>10</v>
      </c>
      <c r="D3785" s="9">
        <v>0</v>
      </c>
      <c r="E3785" s="8">
        <v>318</v>
      </c>
    </row>
    <row r="3786" s="3" customFormat="1" ht="18.75" spans="1:5">
      <c r="A3786" s="8" t="str">
        <f t="shared" si="66"/>
        <v>250018</v>
      </c>
      <c r="B3786" s="8" t="str">
        <f>"2561404011608"</f>
        <v>2561404011608</v>
      </c>
      <c r="C3786" s="8" t="s">
        <v>10</v>
      </c>
      <c r="D3786" s="9">
        <v>0</v>
      </c>
      <c r="E3786" s="8">
        <v>318</v>
      </c>
    </row>
    <row r="3787" s="3" customFormat="1" ht="18.75" spans="1:5">
      <c r="A3787" s="8" t="str">
        <f t="shared" si="66"/>
        <v>250018</v>
      </c>
      <c r="B3787" s="8" t="str">
        <f>"2561404011609"</f>
        <v>2561404011609</v>
      </c>
      <c r="C3787" s="8" t="s">
        <v>10</v>
      </c>
      <c r="D3787" s="9">
        <v>0</v>
      </c>
      <c r="E3787" s="8">
        <v>318</v>
      </c>
    </row>
    <row r="3788" s="3" customFormat="1" ht="18.75" spans="1:5">
      <c r="A3788" s="8" t="str">
        <f t="shared" si="66"/>
        <v>250018</v>
      </c>
      <c r="B3788" s="8" t="str">
        <f>"2561404011610"</f>
        <v>2561404011610</v>
      </c>
      <c r="C3788" s="8" t="s">
        <v>10</v>
      </c>
      <c r="D3788" s="9">
        <v>0</v>
      </c>
      <c r="E3788" s="8">
        <v>318</v>
      </c>
    </row>
    <row r="3789" s="3" customFormat="1" ht="18.75" spans="1:5">
      <c r="A3789" s="8" t="str">
        <f t="shared" si="66"/>
        <v>250018</v>
      </c>
      <c r="B3789" s="8" t="str">
        <f>"2561404011611"</f>
        <v>2561404011611</v>
      </c>
      <c r="C3789" s="8" t="s">
        <v>10</v>
      </c>
      <c r="D3789" s="9">
        <v>0</v>
      </c>
      <c r="E3789" s="8">
        <v>318</v>
      </c>
    </row>
    <row r="3790" s="3" customFormat="1" ht="18.75" spans="1:5">
      <c r="A3790" s="8" t="str">
        <f t="shared" si="66"/>
        <v>250018</v>
      </c>
      <c r="B3790" s="8" t="str">
        <f>"2561404011612"</f>
        <v>2561404011612</v>
      </c>
      <c r="C3790" s="8" t="s">
        <v>10</v>
      </c>
      <c r="D3790" s="9">
        <v>0</v>
      </c>
      <c r="E3790" s="8">
        <v>318</v>
      </c>
    </row>
    <row r="3791" s="3" customFormat="1" ht="18.75" spans="1:5">
      <c r="A3791" s="8" t="str">
        <f t="shared" si="66"/>
        <v>250018</v>
      </c>
      <c r="B3791" s="8" t="str">
        <f>"2561404011614"</f>
        <v>2561404011614</v>
      </c>
      <c r="C3791" s="8" t="s">
        <v>10</v>
      </c>
      <c r="D3791" s="9">
        <v>0</v>
      </c>
      <c r="E3791" s="8">
        <v>318</v>
      </c>
    </row>
    <row r="3792" s="3" customFormat="1" ht="18.75" spans="1:5">
      <c r="A3792" s="8" t="str">
        <f t="shared" si="66"/>
        <v>250018</v>
      </c>
      <c r="B3792" s="8" t="str">
        <f>"2561404011616"</f>
        <v>2561404011616</v>
      </c>
      <c r="C3792" s="8" t="s">
        <v>10</v>
      </c>
      <c r="D3792" s="9">
        <v>0</v>
      </c>
      <c r="E3792" s="8">
        <v>318</v>
      </c>
    </row>
    <row r="3793" s="3" customFormat="1" ht="18.75" spans="1:5">
      <c r="A3793" s="8" t="str">
        <f t="shared" si="66"/>
        <v>250018</v>
      </c>
      <c r="B3793" s="8" t="str">
        <f>"2561404011617"</f>
        <v>2561404011617</v>
      </c>
      <c r="C3793" s="8" t="s">
        <v>10</v>
      </c>
      <c r="D3793" s="9">
        <v>0</v>
      </c>
      <c r="E3793" s="8">
        <v>318</v>
      </c>
    </row>
    <row r="3794" s="3" customFormat="1" ht="18.75" spans="1:5">
      <c r="A3794" s="8" t="str">
        <f t="shared" si="66"/>
        <v>250018</v>
      </c>
      <c r="B3794" s="8" t="str">
        <f>"2561404011620"</f>
        <v>2561404011620</v>
      </c>
      <c r="C3794" s="8" t="s">
        <v>10</v>
      </c>
      <c r="D3794" s="9">
        <v>0</v>
      </c>
      <c r="E3794" s="8">
        <v>318</v>
      </c>
    </row>
    <row r="3795" s="3" customFormat="1" ht="18.75" spans="1:5">
      <c r="A3795" s="8" t="str">
        <f t="shared" si="66"/>
        <v>250018</v>
      </c>
      <c r="B3795" s="8" t="str">
        <f>"2561404011622"</f>
        <v>2561404011622</v>
      </c>
      <c r="C3795" s="8" t="s">
        <v>10</v>
      </c>
      <c r="D3795" s="9">
        <v>0</v>
      </c>
      <c r="E3795" s="8">
        <v>318</v>
      </c>
    </row>
    <row r="3796" s="3" customFormat="1" ht="18.75" spans="1:5">
      <c r="A3796" s="8" t="str">
        <f t="shared" si="66"/>
        <v>250018</v>
      </c>
      <c r="B3796" s="8" t="str">
        <f>"2561404011623"</f>
        <v>2561404011623</v>
      </c>
      <c r="C3796" s="8" t="s">
        <v>10</v>
      </c>
      <c r="D3796" s="9">
        <v>0</v>
      </c>
      <c r="E3796" s="8">
        <v>318</v>
      </c>
    </row>
    <row r="3797" s="3" customFormat="1" ht="18.75" spans="1:5">
      <c r="A3797" s="8" t="str">
        <f t="shared" si="66"/>
        <v>250018</v>
      </c>
      <c r="B3797" s="8" t="str">
        <f>"2561404011624"</f>
        <v>2561404011624</v>
      </c>
      <c r="C3797" s="8" t="s">
        <v>10</v>
      </c>
      <c r="D3797" s="9">
        <v>0</v>
      </c>
      <c r="E3797" s="8">
        <v>318</v>
      </c>
    </row>
    <row r="3798" s="3" customFormat="1" ht="18.75" spans="1:5">
      <c r="A3798" s="8" t="str">
        <f t="shared" si="66"/>
        <v>250018</v>
      </c>
      <c r="B3798" s="8" t="str">
        <f>"2561404011625"</f>
        <v>2561404011625</v>
      </c>
      <c r="C3798" s="8" t="s">
        <v>10</v>
      </c>
      <c r="D3798" s="9">
        <v>0</v>
      </c>
      <c r="E3798" s="8">
        <v>318</v>
      </c>
    </row>
    <row r="3799" s="3" customFormat="1" ht="18.75" spans="1:5">
      <c r="A3799" s="8" t="str">
        <f t="shared" si="66"/>
        <v>250018</v>
      </c>
      <c r="B3799" s="8" t="str">
        <f>"2561404011626"</f>
        <v>2561404011626</v>
      </c>
      <c r="C3799" s="8" t="s">
        <v>10</v>
      </c>
      <c r="D3799" s="9">
        <v>0</v>
      </c>
      <c r="E3799" s="8">
        <v>318</v>
      </c>
    </row>
    <row r="3800" s="3" customFormat="1" ht="18.75" spans="1:5">
      <c r="A3800" s="8" t="str">
        <f t="shared" si="66"/>
        <v>250018</v>
      </c>
      <c r="B3800" s="8" t="str">
        <f>"2561404011628"</f>
        <v>2561404011628</v>
      </c>
      <c r="C3800" s="8" t="s">
        <v>10</v>
      </c>
      <c r="D3800" s="9">
        <v>0</v>
      </c>
      <c r="E3800" s="8">
        <v>318</v>
      </c>
    </row>
    <row r="3801" s="3" customFormat="1" ht="18.75" spans="1:5">
      <c r="A3801" s="8" t="str">
        <f t="shared" si="66"/>
        <v>250018</v>
      </c>
      <c r="B3801" s="8" t="str">
        <f>"2561404011629"</f>
        <v>2561404011629</v>
      </c>
      <c r="C3801" s="8" t="s">
        <v>10</v>
      </c>
      <c r="D3801" s="9">
        <v>0</v>
      </c>
      <c r="E3801" s="8">
        <v>318</v>
      </c>
    </row>
    <row r="3802" s="3" customFormat="1" ht="18.75" spans="1:5">
      <c r="A3802" s="8" t="str">
        <f t="shared" si="66"/>
        <v>250018</v>
      </c>
      <c r="B3802" s="8" t="str">
        <f>"2561404011701"</f>
        <v>2561404011701</v>
      </c>
      <c r="C3802" s="8" t="s">
        <v>10</v>
      </c>
      <c r="D3802" s="9">
        <v>0</v>
      </c>
      <c r="E3802" s="8">
        <v>318</v>
      </c>
    </row>
    <row r="3803" s="3" customFormat="1" ht="18.75" spans="1:5">
      <c r="A3803" s="8" t="str">
        <f t="shared" si="66"/>
        <v>250018</v>
      </c>
      <c r="B3803" s="8" t="str">
        <f>"2561404011704"</f>
        <v>2561404011704</v>
      </c>
      <c r="C3803" s="8" t="s">
        <v>10</v>
      </c>
      <c r="D3803" s="9">
        <v>0</v>
      </c>
      <c r="E3803" s="8">
        <v>318</v>
      </c>
    </row>
    <row r="3804" s="3" customFormat="1" ht="18.75" spans="1:5">
      <c r="A3804" s="8" t="str">
        <f t="shared" si="66"/>
        <v>250018</v>
      </c>
      <c r="B3804" s="8" t="str">
        <f>"2561404011705"</f>
        <v>2561404011705</v>
      </c>
      <c r="C3804" s="8" t="s">
        <v>10</v>
      </c>
      <c r="D3804" s="9">
        <v>0</v>
      </c>
      <c r="E3804" s="8">
        <v>318</v>
      </c>
    </row>
    <row r="3805" s="3" customFormat="1" ht="18.75" spans="1:5">
      <c r="A3805" s="8" t="str">
        <f t="shared" si="66"/>
        <v>250018</v>
      </c>
      <c r="B3805" s="8" t="str">
        <f>"2561404011709"</f>
        <v>2561404011709</v>
      </c>
      <c r="C3805" s="8" t="s">
        <v>10</v>
      </c>
      <c r="D3805" s="9">
        <v>0</v>
      </c>
      <c r="E3805" s="8">
        <v>318</v>
      </c>
    </row>
    <row r="3806" s="3" customFormat="1" ht="18.75" spans="1:5">
      <c r="A3806" s="8" t="str">
        <f t="shared" si="66"/>
        <v>250018</v>
      </c>
      <c r="B3806" s="8" t="str">
        <f>"2561404011710"</f>
        <v>2561404011710</v>
      </c>
      <c r="C3806" s="8" t="s">
        <v>10</v>
      </c>
      <c r="D3806" s="9">
        <v>0</v>
      </c>
      <c r="E3806" s="8">
        <v>318</v>
      </c>
    </row>
    <row r="3807" s="3" customFormat="1" ht="18.75" spans="1:5">
      <c r="A3807" s="8" t="str">
        <f t="shared" si="66"/>
        <v>250018</v>
      </c>
      <c r="B3807" s="8" t="str">
        <f>"2561404011711"</f>
        <v>2561404011711</v>
      </c>
      <c r="C3807" s="8" t="s">
        <v>10</v>
      </c>
      <c r="D3807" s="9">
        <v>0</v>
      </c>
      <c r="E3807" s="8">
        <v>318</v>
      </c>
    </row>
    <row r="3808" s="3" customFormat="1" ht="18.75" spans="1:5">
      <c r="A3808" s="8" t="str">
        <f t="shared" si="66"/>
        <v>250018</v>
      </c>
      <c r="B3808" s="8" t="str">
        <f>"2561404011712"</f>
        <v>2561404011712</v>
      </c>
      <c r="C3808" s="8" t="s">
        <v>10</v>
      </c>
      <c r="D3808" s="9">
        <v>0</v>
      </c>
      <c r="E3808" s="8">
        <v>318</v>
      </c>
    </row>
    <row r="3809" s="3" customFormat="1" ht="18.75" spans="1:5">
      <c r="A3809" s="8" t="str">
        <f t="shared" si="66"/>
        <v>250018</v>
      </c>
      <c r="B3809" s="8" t="str">
        <f>"2561404011713"</f>
        <v>2561404011713</v>
      </c>
      <c r="C3809" s="8" t="s">
        <v>10</v>
      </c>
      <c r="D3809" s="9">
        <v>0</v>
      </c>
      <c r="E3809" s="8">
        <v>318</v>
      </c>
    </row>
    <row r="3810" s="3" customFormat="1" ht="18.75" spans="1:5">
      <c r="A3810" s="8" t="str">
        <f t="shared" si="66"/>
        <v>250018</v>
      </c>
      <c r="B3810" s="8" t="str">
        <f>"2561404011714"</f>
        <v>2561404011714</v>
      </c>
      <c r="C3810" s="8" t="s">
        <v>10</v>
      </c>
      <c r="D3810" s="9">
        <v>0</v>
      </c>
      <c r="E3810" s="8">
        <v>318</v>
      </c>
    </row>
    <row r="3811" s="3" customFormat="1" ht="18.75" spans="1:5">
      <c r="A3811" s="8" t="str">
        <f t="shared" si="66"/>
        <v>250018</v>
      </c>
      <c r="B3811" s="8" t="str">
        <f>"2561404011715"</f>
        <v>2561404011715</v>
      </c>
      <c r="C3811" s="8" t="s">
        <v>10</v>
      </c>
      <c r="D3811" s="9">
        <v>0</v>
      </c>
      <c r="E3811" s="8">
        <v>318</v>
      </c>
    </row>
    <row r="3812" s="3" customFormat="1" ht="18.75" spans="1:5">
      <c r="A3812" s="8" t="str">
        <f t="shared" si="66"/>
        <v>250018</v>
      </c>
      <c r="B3812" s="8" t="str">
        <f>"2561404011716"</f>
        <v>2561404011716</v>
      </c>
      <c r="C3812" s="8" t="s">
        <v>10</v>
      </c>
      <c r="D3812" s="9">
        <v>0</v>
      </c>
      <c r="E3812" s="8">
        <v>318</v>
      </c>
    </row>
    <row r="3813" s="3" customFormat="1" ht="18.75" spans="1:5">
      <c r="A3813" s="8" t="str">
        <f t="shared" si="66"/>
        <v>250018</v>
      </c>
      <c r="B3813" s="8" t="str">
        <f>"2561404011717"</f>
        <v>2561404011717</v>
      </c>
      <c r="C3813" s="8" t="s">
        <v>10</v>
      </c>
      <c r="D3813" s="9">
        <v>0</v>
      </c>
      <c r="E3813" s="8">
        <v>318</v>
      </c>
    </row>
    <row r="3814" s="3" customFormat="1" ht="18.75" spans="1:5">
      <c r="A3814" s="8" t="str">
        <f t="shared" si="66"/>
        <v>250018</v>
      </c>
      <c r="B3814" s="8" t="str">
        <f>"2561404011722"</f>
        <v>2561404011722</v>
      </c>
      <c r="C3814" s="8" t="s">
        <v>10</v>
      </c>
      <c r="D3814" s="9">
        <v>0</v>
      </c>
      <c r="E3814" s="8">
        <v>318</v>
      </c>
    </row>
    <row r="3815" s="3" customFormat="1" ht="18.75" spans="1:5">
      <c r="A3815" s="8" t="str">
        <f t="shared" si="66"/>
        <v>250018</v>
      </c>
      <c r="B3815" s="8" t="str">
        <f>"2561404011723"</f>
        <v>2561404011723</v>
      </c>
      <c r="C3815" s="8" t="s">
        <v>10</v>
      </c>
      <c r="D3815" s="9">
        <v>0</v>
      </c>
      <c r="E3815" s="8">
        <v>318</v>
      </c>
    </row>
    <row r="3816" s="3" customFormat="1" ht="18.75" spans="1:5">
      <c r="A3816" s="8" t="str">
        <f t="shared" ref="A3816:A3879" si="67">"250018"</f>
        <v>250018</v>
      </c>
      <c r="B3816" s="8" t="str">
        <f>"2561404011725"</f>
        <v>2561404011725</v>
      </c>
      <c r="C3816" s="8" t="s">
        <v>10</v>
      </c>
      <c r="D3816" s="9">
        <v>0</v>
      </c>
      <c r="E3816" s="8">
        <v>318</v>
      </c>
    </row>
    <row r="3817" s="3" customFormat="1" ht="18.75" spans="1:5">
      <c r="A3817" s="8" t="str">
        <f t="shared" si="67"/>
        <v>250018</v>
      </c>
      <c r="B3817" s="8" t="str">
        <f>"2561404011726"</f>
        <v>2561404011726</v>
      </c>
      <c r="C3817" s="8" t="s">
        <v>10</v>
      </c>
      <c r="D3817" s="9">
        <v>0</v>
      </c>
      <c r="E3817" s="8">
        <v>318</v>
      </c>
    </row>
    <row r="3818" s="3" customFormat="1" ht="18.75" spans="1:5">
      <c r="A3818" s="8" t="str">
        <f t="shared" si="67"/>
        <v>250018</v>
      </c>
      <c r="B3818" s="8" t="str">
        <f>"2561404011727"</f>
        <v>2561404011727</v>
      </c>
      <c r="C3818" s="8" t="s">
        <v>10</v>
      </c>
      <c r="D3818" s="9">
        <v>0</v>
      </c>
      <c r="E3818" s="8">
        <v>318</v>
      </c>
    </row>
    <row r="3819" s="3" customFormat="1" ht="18.75" spans="1:5">
      <c r="A3819" s="8" t="str">
        <f t="shared" si="67"/>
        <v>250018</v>
      </c>
      <c r="B3819" s="8" t="str">
        <f>"2561404011729"</f>
        <v>2561404011729</v>
      </c>
      <c r="C3819" s="8" t="s">
        <v>10</v>
      </c>
      <c r="D3819" s="9">
        <v>0</v>
      </c>
      <c r="E3819" s="8">
        <v>318</v>
      </c>
    </row>
    <row r="3820" s="3" customFormat="1" ht="18.75" spans="1:5">
      <c r="A3820" s="8" t="str">
        <f t="shared" si="67"/>
        <v>250018</v>
      </c>
      <c r="B3820" s="8" t="str">
        <f>"2561404011730"</f>
        <v>2561404011730</v>
      </c>
      <c r="C3820" s="8" t="s">
        <v>10</v>
      </c>
      <c r="D3820" s="9">
        <v>0</v>
      </c>
      <c r="E3820" s="8">
        <v>318</v>
      </c>
    </row>
    <row r="3821" s="3" customFormat="1" ht="18.75" spans="1:5">
      <c r="A3821" s="8" t="str">
        <f t="shared" si="67"/>
        <v>250018</v>
      </c>
      <c r="B3821" s="8" t="str">
        <f>"2561404011801"</f>
        <v>2561404011801</v>
      </c>
      <c r="C3821" s="8" t="s">
        <v>10</v>
      </c>
      <c r="D3821" s="9">
        <v>0</v>
      </c>
      <c r="E3821" s="8">
        <v>318</v>
      </c>
    </row>
    <row r="3822" s="3" customFormat="1" ht="18.75" spans="1:5">
      <c r="A3822" s="8" t="str">
        <f t="shared" si="67"/>
        <v>250018</v>
      </c>
      <c r="B3822" s="8" t="str">
        <f>"2561404011802"</f>
        <v>2561404011802</v>
      </c>
      <c r="C3822" s="8" t="s">
        <v>10</v>
      </c>
      <c r="D3822" s="9">
        <v>0</v>
      </c>
      <c r="E3822" s="8">
        <v>318</v>
      </c>
    </row>
    <row r="3823" s="3" customFormat="1" ht="18.75" spans="1:5">
      <c r="A3823" s="8" t="str">
        <f t="shared" si="67"/>
        <v>250018</v>
      </c>
      <c r="B3823" s="8" t="str">
        <f>"2561404011803"</f>
        <v>2561404011803</v>
      </c>
      <c r="C3823" s="8" t="s">
        <v>10</v>
      </c>
      <c r="D3823" s="9">
        <v>0</v>
      </c>
      <c r="E3823" s="8">
        <v>318</v>
      </c>
    </row>
    <row r="3824" s="3" customFormat="1" ht="18.75" spans="1:5">
      <c r="A3824" s="8" t="str">
        <f t="shared" si="67"/>
        <v>250018</v>
      </c>
      <c r="B3824" s="8" t="str">
        <f>"2561404011804"</f>
        <v>2561404011804</v>
      </c>
      <c r="C3824" s="8" t="s">
        <v>10</v>
      </c>
      <c r="D3824" s="9">
        <v>0</v>
      </c>
      <c r="E3824" s="8">
        <v>318</v>
      </c>
    </row>
    <row r="3825" s="3" customFormat="1" ht="18.75" spans="1:5">
      <c r="A3825" s="8" t="str">
        <f t="shared" si="67"/>
        <v>250018</v>
      </c>
      <c r="B3825" s="8" t="str">
        <f>"2561404011809"</f>
        <v>2561404011809</v>
      </c>
      <c r="C3825" s="8" t="s">
        <v>10</v>
      </c>
      <c r="D3825" s="9">
        <v>0</v>
      </c>
      <c r="E3825" s="8">
        <v>318</v>
      </c>
    </row>
    <row r="3826" s="3" customFormat="1" ht="18.75" spans="1:5">
      <c r="A3826" s="8" t="str">
        <f t="shared" si="67"/>
        <v>250018</v>
      </c>
      <c r="B3826" s="8" t="str">
        <f>"2561404011810"</f>
        <v>2561404011810</v>
      </c>
      <c r="C3826" s="8" t="s">
        <v>10</v>
      </c>
      <c r="D3826" s="9">
        <v>0</v>
      </c>
      <c r="E3826" s="8">
        <v>318</v>
      </c>
    </row>
    <row r="3827" s="3" customFormat="1" ht="18.75" spans="1:5">
      <c r="A3827" s="8" t="str">
        <f t="shared" si="67"/>
        <v>250018</v>
      </c>
      <c r="B3827" s="8" t="str">
        <f>"2561404011812"</f>
        <v>2561404011812</v>
      </c>
      <c r="C3827" s="8" t="s">
        <v>10</v>
      </c>
      <c r="D3827" s="9">
        <v>0</v>
      </c>
      <c r="E3827" s="8">
        <v>318</v>
      </c>
    </row>
    <row r="3828" s="3" customFormat="1" ht="18.75" spans="1:5">
      <c r="A3828" s="8" t="str">
        <f t="shared" si="67"/>
        <v>250018</v>
      </c>
      <c r="B3828" s="8" t="str">
        <f>"2561404011813"</f>
        <v>2561404011813</v>
      </c>
      <c r="C3828" s="8" t="s">
        <v>10</v>
      </c>
      <c r="D3828" s="9">
        <v>0</v>
      </c>
      <c r="E3828" s="8">
        <v>318</v>
      </c>
    </row>
    <row r="3829" s="3" customFormat="1" ht="18.75" spans="1:5">
      <c r="A3829" s="8" t="str">
        <f t="shared" si="67"/>
        <v>250018</v>
      </c>
      <c r="B3829" s="8" t="str">
        <f>"2561404011814"</f>
        <v>2561404011814</v>
      </c>
      <c r="C3829" s="8" t="s">
        <v>10</v>
      </c>
      <c r="D3829" s="9">
        <v>0</v>
      </c>
      <c r="E3829" s="8">
        <v>318</v>
      </c>
    </row>
    <row r="3830" s="3" customFormat="1" ht="18.75" spans="1:5">
      <c r="A3830" s="8" t="str">
        <f t="shared" si="67"/>
        <v>250018</v>
      </c>
      <c r="B3830" s="8" t="str">
        <f>"2561404011817"</f>
        <v>2561404011817</v>
      </c>
      <c r="C3830" s="8" t="s">
        <v>10</v>
      </c>
      <c r="D3830" s="9">
        <v>0</v>
      </c>
      <c r="E3830" s="8">
        <v>318</v>
      </c>
    </row>
    <row r="3831" s="3" customFormat="1" ht="18.75" spans="1:5">
      <c r="A3831" s="8" t="str">
        <f t="shared" si="67"/>
        <v>250018</v>
      </c>
      <c r="B3831" s="8" t="str">
        <f>"2561404011818"</f>
        <v>2561404011818</v>
      </c>
      <c r="C3831" s="8" t="s">
        <v>10</v>
      </c>
      <c r="D3831" s="9">
        <v>0</v>
      </c>
      <c r="E3831" s="8">
        <v>318</v>
      </c>
    </row>
    <row r="3832" s="3" customFormat="1" ht="18.75" spans="1:5">
      <c r="A3832" s="8" t="str">
        <f t="shared" si="67"/>
        <v>250018</v>
      </c>
      <c r="B3832" s="8" t="str">
        <f>"2561404011819"</f>
        <v>2561404011819</v>
      </c>
      <c r="C3832" s="8" t="s">
        <v>10</v>
      </c>
      <c r="D3832" s="9">
        <v>0</v>
      </c>
      <c r="E3832" s="8">
        <v>318</v>
      </c>
    </row>
    <row r="3833" s="3" customFormat="1" ht="18.75" spans="1:5">
      <c r="A3833" s="8" t="str">
        <f t="shared" si="67"/>
        <v>250018</v>
      </c>
      <c r="B3833" s="8" t="str">
        <f>"2561404011821"</f>
        <v>2561404011821</v>
      </c>
      <c r="C3833" s="8" t="s">
        <v>10</v>
      </c>
      <c r="D3833" s="9">
        <v>0</v>
      </c>
      <c r="E3833" s="8">
        <v>318</v>
      </c>
    </row>
    <row r="3834" s="3" customFormat="1" ht="18.75" spans="1:5">
      <c r="A3834" s="8" t="str">
        <f t="shared" si="67"/>
        <v>250018</v>
      </c>
      <c r="B3834" s="8" t="str">
        <f>"2561404011824"</f>
        <v>2561404011824</v>
      </c>
      <c r="C3834" s="8" t="s">
        <v>10</v>
      </c>
      <c r="D3834" s="9">
        <v>0</v>
      </c>
      <c r="E3834" s="8">
        <v>318</v>
      </c>
    </row>
    <row r="3835" s="3" customFormat="1" ht="18.75" spans="1:5">
      <c r="A3835" s="8" t="str">
        <f t="shared" si="67"/>
        <v>250018</v>
      </c>
      <c r="B3835" s="8" t="str">
        <f>"2561404011825"</f>
        <v>2561404011825</v>
      </c>
      <c r="C3835" s="8" t="s">
        <v>10</v>
      </c>
      <c r="D3835" s="9">
        <v>0</v>
      </c>
      <c r="E3835" s="8">
        <v>318</v>
      </c>
    </row>
    <row r="3836" s="3" customFormat="1" ht="18.75" spans="1:5">
      <c r="A3836" s="8" t="str">
        <f t="shared" si="67"/>
        <v>250018</v>
      </c>
      <c r="B3836" s="8" t="str">
        <f>"2561404011826"</f>
        <v>2561404011826</v>
      </c>
      <c r="C3836" s="8" t="s">
        <v>10</v>
      </c>
      <c r="D3836" s="9">
        <v>0</v>
      </c>
      <c r="E3836" s="8">
        <v>318</v>
      </c>
    </row>
    <row r="3837" s="3" customFormat="1" ht="18.75" spans="1:5">
      <c r="A3837" s="8" t="str">
        <f t="shared" si="67"/>
        <v>250018</v>
      </c>
      <c r="B3837" s="8" t="str">
        <f>"2561404011827"</f>
        <v>2561404011827</v>
      </c>
      <c r="C3837" s="8" t="s">
        <v>10</v>
      </c>
      <c r="D3837" s="9">
        <v>0</v>
      </c>
      <c r="E3837" s="8">
        <v>318</v>
      </c>
    </row>
    <row r="3838" s="3" customFormat="1" ht="18.75" spans="1:5">
      <c r="A3838" s="8" t="str">
        <f t="shared" si="67"/>
        <v>250018</v>
      </c>
      <c r="B3838" s="8" t="str">
        <f>"2561404011829"</f>
        <v>2561404011829</v>
      </c>
      <c r="C3838" s="8" t="s">
        <v>10</v>
      </c>
      <c r="D3838" s="9">
        <v>0</v>
      </c>
      <c r="E3838" s="8">
        <v>318</v>
      </c>
    </row>
    <row r="3839" s="3" customFormat="1" ht="18.75" spans="1:5">
      <c r="A3839" s="8" t="str">
        <f t="shared" si="67"/>
        <v>250018</v>
      </c>
      <c r="B3839" s="8" t="str">
        <f>"2561404011830"</f>
        <v>2561404011830</v>
      </c>
      <c r="C3839" s="8" t="s">
        <v>10</v>
      </c>
      <c r="D3839" s="9">
        <v>0</v>
      </c>
      <c r="E3839" s="8">
        <v>318</v>
      </c>
    </row>
    <row r="3840" s="3" customFormat="1" ht="18.75" spans="1:5">
      <c r="A3840" s="8" t="str">
        <f t="shared" si="67"/>
        <v>250018</v>
      </c>
      <c r="B3840" s="8" t="str">
        <f>"2561404011901"</f>
        <v>2561404011901</v>
      </c>
      <c r="C3840" s="8" t="s">
        <v>10</v>
      </c>
      <c r="D3840" s="9">
        <v>0</v>
      </c>
      <c r="E3840" s="8">
        <v>318</v>
      </c>
    </row>
    <row r="3841" s="3" customFormat="1" ht="18.75" spans="1:5">
      <c r="A3841" s="8" t="str">
        <f t="shared" si="67"/>
        <v>250018</v>
      </c>
      <c r="B3841" s="8" t="str">
        <f>"2561404011904"</f>
        <v>2561404011904</v>
      </c>
      <c r="C3841" s="8" t="s">
        <v>10</v>
      </c>
      <c r="D3841" s="9">
        <v>0</v>
      </c>
      <c r="E3841" s="8">
        <v>318</v>
      </c>
    </row>
    <row r="3842" s="3" customFormat="1" ht="18.75" spans="1:5">
      <c r="A3842" s="8" t="str">
        <f t="shared" si="67"/>
        <v>250018</v>
      </c>
      <c r="B3842" s="8" t="str">
        <f>"2561404011905"</f>
        <v>2561404011905</v>
      </c>
      <c r="C3842" s="8" t="s">
        <v>10</v>
      </c>
      <c r="D3842" s="9">
        <v>0</v>
      </c>
      <c r="E3842" s="8">
        <v>318</v>
      </c>
    </row>
    <row r="3843" s="3" customFormat="1" ht="18.75" spans="1:5">
      <c r="A3843" s="8" t="str">
        <f t="shared" si="67"/>
        <v>250018</v>
      </c>
      <c r="B3843" s="8" t="str">
        <f>"2561404011907"</f>
        <v>2561404011907</v>
      </c>
      <c r="C3843" s="8" t="s">
        <v>10</v>
      </c>
      <c r="D3843" s="9">
        <v>0</v>
      </c>
      <c r="E3843" s="8">
        <v>318</v>
      </c>
    </row>
    <row r="3844" s="3" customFormat="1" ht="18.75" spans="1:5">
      <c r="A3844" s="8" t="str">
        <f t="shared" si="67"/>
        <v>250018</v>
      </c>
      <c r="B3844" s="8" t="str">
        <f>"2561404011908"</f>
        <v>2561404011908</v>
      </c>
      <c r="C3844" s="8" t="s">
        <v>10</v>
      </c>
      <c r="D3844" s="9">
        <v>0</v>
      </c>
      <c r="E3844" s="8">
        <v>318</v>
      </c>
    </row>
    <row r="3845" s="3" customFormat="1" ht="18.75" spans="1:5">
      <c r="A3845" s="8" t="str">
        <f t="shared" si="67"/>
        <v>250018</v>
      </c>
      <c r="B3845" s="8" t="str">
        <f>"2561404011909"</f>
        <v>2561404011909</v>
      </c>
      <c r="C3845" s="8" t="s">
        <v>10</v>
      </c>
      <c r="D3845" s="9">
        <v>0</v>
      </c>
      <c r="E3845" s="8">
        <v>318</v>
      </c>
    </row>
    <row r="3846" s="3" customFormat="1" ht="18.75" spans="1:5">
      <c r="A3846" s="8" t="str">
        <f t="shared" si="67"/>
        <v>250018</v>
      </c>
      <c r="B3846" s="8" t="str">
        <f>"2561404011914"</f>
        <v>2561404011914</v>
      </c>
      <c r="C3846" s="8" t="s">
        <v>10</v>
      </c>
      <c r="D3846" s="9">
        <v>0</v>
      </c>
      <c r="E3846" s="8">
        <v>318</v>
      </c>
    </row>
    <row r="3847" s="3" customFormat="1" ht="18.75" spans="1:5">
      <c r="A3847" s="8" t="str">
        <f t="shared" si="67"/>
        <v>250018</v>
      </c>
      <c r="B3847" s="8" t="str">
        <f>"2561404011915"</f>
        <v>2561404011915</v>
      </c>
      <c r="C3847" s="8" t="s">
        <v>10</v>
      </c>
      <c r="D3847" s="9">
        <v>0</v>
      </c>
      <c r="E3847" s="8">
        <v>318</v>
      </c>
    </row>
    <row r="3848" s="3" customFormat="1" ht="18.75" spans="1:5">
      <c r="A3848" s="8" t="str">
        <f t="shared" si="67"/>
        <v>250018</v>
      </c>
      <c r="B3848" s="8" t="str">
        <f>"2561404011917"</f>
        <v>2561404011917</v>
      </c>
      <c r="C3848" s="8" t="s">
        <v>10</v>
      </c>
      <c r="D3848" s="9">
        <v>0</v>
      </c>
      <c r="E3848" s="8">
        <v>318</v>
      </c>
    </row>
    <row r="3849" s="3" customFormat="1" ht="18.75" spans="1:5">
      <c r="A3849" s="8" t="str">
        <f t="shared" si="67"/>
        <v>250018</v>
      </c>
      <c r="B3849" s="8" t="str">
        <f>"2561404011918"</f>
        <v>2561404011918</v>
      </c>
      <c r="C3849" s="8" t="s">
        <v>10</v>
      </c>
      <c r="D3849" s="9">
        <v>0</v>
      </c>
      <c r="E3849" s="8">
        <v>318</v>
      </c>
    </row>
    <row r="3850" s="3" customFormat="1" ht="18.75" spans="1:5">
      <c r="A3850" s="8" t="str">
        <f t="shared" si="67"/>
        <v>250018</v>
      </c>
      <c r="B3850" s="8" t="str">
        <f>"2561404011919"</f>
        <v>2561404011919</v>
      </c>
      <c r="C3850" s="8" t="s">
        <v>10</v>
      </c>
      <c r="D3850" s="9">
        <v>0</v>
      </c>
      <c r="E3850" s="8">
        <v>318</v>
      </c>
    </row>
    <row r="3851" s="3" customFormat="1" ht="18.75" spans="1:5">
      <c r="A3851" s="8" t="str">
        <f t="shared" si="67"/>
        <v>250018</v>
      </c>
      <c r="B3851" s="8" t="str">
        <f>"2561404011920"</f>
        <v>2561404011920</v>
      </c>
      <c r="C3851" s="8" t="s">
        <v>10</v>
      </c>
      <c r="D3851" s="9">
        <v>0</v>
      </c>
      <c r="E3851" s="8">
        <v>318</v>
      </c>
    </row>
    <row r="3852" s="3" customFormat="1" ht="18.75" spans="1:5">
      <c r="A3852" s="8" t="str">
        <f t="shared" si="67"/>
        <v>250018</v>
      </c>
      <c r="B3852" s="8" t="str">
        <f>"2561404011925"</f>
        <v>2561404011925</v>
      </c>
      <c r="C3852" s="8" t="s">
        <v>10</v>
      </c>
      <c r="D3852" s="9">
        <v>0</v>
      </c>
      <c r="E3852" s="8">
        <v>318</v>
      </c>
    </row>
    <row r="3853" s="3" customFormat="1" ht="18.75" spans="1:5">
      <c r="A3853" s="8" t="str">
        <f t="shared" si="67"/>
        <v>250018</v>
      </c>
      <c r="B3853" s="8" t="str">
        <f>"2561404011928"</f>
        <v>2561404011928</v>
      </c>
      <c r="C3853" s="8" t="s">
        <v>10</v>
      </c>
      <c r="D3853" s="9">
        <v>0</v>
      </c>
      <c r="E3853" s="8">
        <v>318</v>
      </c>
    </row>
    <row r="3854" s="3" customFormat="1" ht="18.75" spans="1:5">
      <c r="A3854" s="8" t="str">
        <f t="shared" si="67"/>
        <v>250018</v>
      </c>
      <c r="B3854" s="8" t="str">
        <f>"2561404011930"</f>
        <v>2561404011930</v>
      </c>
      <c r="C3854" s="8" t="s">
        <v>10</v>
      </c>
      <c r="D3854" s="9">
        <v>0</v>
      </c>
      <c r="E3854" s="8">
        <v>318</v>
      </c>
    </row>
    <row r="3855" s="3" customFormat="1" ht="18.75" spans="1:5">
      <c r="A3855" s="8" t="str">
        <f t="shared" si="67"/>
        <v>250018</v>
      </c>
      <c r="B3855" s="8" t="str">
        <f>"2561404012001"</f>
        <v>2561404012001</v>
      </c>
      <c r="C3855" s="8" t="s">
        <v>10</v>
      </c>
      <c r="D3855" s="9">
        <v>0</v>
      </c>
      <c r="E3855" s="8">
        <v>318</v>
      </c>
    </row>
    <row r="3856" s="3" customFormat="1" ht="18.75" spans="1:5">
      <c r="A3856" s="8" t="str">
        <f t="shared" si="67"/>
        <v>250018</v>
      </c>
      <c r="B3856" s="8" t="str">
        <f>"2561404012002"</f>
        <v>2561404012002</v>
      </c>
      <c r="C3856" s="8" t="s">
        <v>10</v>
      </c>
      <c r="D3856" s="9">
        <v>0</v>
      </c>
      <c r="E3856" s="8">
        <v>318</v>
      </c>
    </row>
    <row r="3857" s="3" customFormat="1" ht="18.75" spans="1:5">
      <c r="A3857" s="8" t="str">
        <f t="shared" si="67"/>
        <v>250018</v>
      </c>
      <c r="B3857" s="8" t="str">
        <f>"2561404012003"</f>
        <v>2561404012003</v>
      </c>
      <c r="C3857" s="8" t="s">
        <v>10</v>
      </c>
      <c r="D3857" s="9">
        <v>0</v>
      </c>
      <c r="E3857" s="8">
        <v>318</v>
      </c>
    </row>
    <row r="3858" s="3" customFormat="1" ht="18.75" spans="1:5">
      <c r="A3858" s="8" t="str">
        <f t="shared" si="67"/>
        <v>250018</v>
      </c>
      <c r="B3858" s="8" t="str">
        <f>"2561404012005"</f>
        <v>2561404012005</v>
      </c>
      <c r="C3858" s="8" t="s">
        <v>10</v>
      </c>
      <c r="D3858" s="9">
        <v>0</v>
      </c>
      <c r="E3858" s="8">
        <v>318</v>
      </c>
    </row>
    <row r="3859" s="3" customFormat="1" ht="18.75" spans="1:5">
      <c r="A3859" s="8" t="str">
        <f t="shared" si="67"/>
        <v>250018</v>
      </c>
      <c r="B3859" s="8" t="str">
        <f>"2561404012006"</f>
        <v>2561404012006</v>
      </c>
      <c r="C3859" s="8" t="s">
        <v>10</v>
      </c>
      <c r="D3859" s="9">
        <v>0</v>
      </c>
      <c r="E3859" s="8">
        <v>318</v>
      </c>
    </row>
    <row r="3860" s="3" customFormat="1" ht="18.75" spans="1:5">
      <c r="A3860" s="8" t="str">
        <f t="shared" si="67"/>
        <v>250018</v>
      </c>
      <c r="B3860" s="8" t="str">
        <f>"2561404012007"</f>
        <v>2561404012007</v>
      </c>
      <c r="C3860" s="8" t="s">
        <v>10</v>
      </c>
      <c r="D3860" s="9">
        <v>0</v>
      </c>
      <c r="E3860" s="8">
        <v>318</v>
      </c>
    </row>
    <row r="3861" s="3" customFormat="1" ht="18.75" spans="1:5">
      <c r="A3861" s="8" t="str">
        <f t="shared" si="67"/>
        <v>250018</v>
      </c>
      <c r="B3861" s="8" t="str">
        <f>"2561404012009"</f>
        <v>2561404012009</v>
      </c>
      <c r="C3861" s="8" t="s">
        <v>10</v>
      </c>
      <c r="D3861" s="9">
        <v>0</v>
      </c>
      <c r="E3861" s="8">
        <v>318</v>
      </c>
    </row>
    <row r="3862" s="3" customFormat="1" ht="18.75" spans="1:5">
      <c r="A3862" s="8" t="str">
        <f t="shared" si="67"/>
        <v>250018</v>
      </c>
      <c r="B3862" s="8" t="str">
        <f>"2561404012011"</f>
        <v>2561404012011</v>
      </c>
      <c r="C3862" s="8" t="s">
        <v>10</v>
      </c>
      <c r="D3862" s="9">
        <v>0</v>
      </c>
      <c r="E3862" s="8">
        <v>318</v>
      </c>
    </row>
    <row r="3863" s="3" customFormat="1" ht="18.75" spans="1:5">
      <c r="A3863" s="8" t="str">
        <f t="shared" si="67"/>
        <v>250018</v>
      </c>
      <c r="B3863" s="8" t="str">
        <f>"2561404012012"</f>
        <v>2561404012012</v>
      </c>
      <c r="C3863" s="8" t="s">
        <v>10</v>
      </c>
      <c r="D3863" s="9">
        <v>0</v>
      </c>
      <c r="E3863" s="8">
        <v>318</v>
      </c>
    </row>
    <row r="3864" s="3" customFormat="1" ht="18.75" spans="1:5">
      <c r="A3864" s="8" t="str">
        <f t="shared" si="67"/>
        <v>250018</v>
      </c>
      <c r="B3864" s="8" t="str">
        <f>"2561404012015"</f>
        <v>2561404012015</v>
      </c>
      <c r="C3864" s="8" t="s">
        <v>10</v>
      </c>
      <c r="D3864" s="9">
        <v>0</v>
      </c>
      <c r="E3864" s="8">
        <v>318</v>
      </c>
    </row>
    <row r="3865" s="3" customFormat="1" ht="18.75" spans="1:5">
      <c r="A3865" s="8" t="str">
        <f t="shared" si="67"/>
        <v>250018</v>
      </c>
      <c r="B3865" s="8" t="str">
        <f>"2561404012017"</f>
        <v>2561404012017</v>
      </c>
      <c r="C3865" s="8" t="s">
        <v>10</v>
      </c>
      <c r="D3865" s="9">
        <v>0</v>
      </c>
      <c r="E3865" s="8">
        <v>318</v>
      </c>
    </row>
    <row r="3866" s="3" customFormat="1" ht="18.75" spans="1:5">
      <c r="A3866" s="8" t="str">
        <f t="shared" si="67"/>
        <v>250018</v>
      </c>
      <c r="B3866" s="8" t="str">
        <f>"2561404012018"</f>
        <v>2561404012018</v>
      </c>
      <c r="C3866" s="8" t="s">
        <v>10</v>
      </c>
      <c r="D3866" s="9">
        <v>0</v>
      </c>
      <c r="E3866" s="8">
        <v>318</v>
      </c>
    </row>
    <row r="3867" s="3" customFormat="1" ht="18.75" spans="1:5">
      <c r="A3867" s="8" t="str">
        <f t="shared" si="67"/>
        <v>250018</v>
      </c>
      <c r="B3867" s="8" t="str">
        <f>"2561404012020"</f>
        <v>2561404012020</v>
      </c>
      <c r="C3867" s="8" t="s">
        <v>10</v>
      </c>
      <c r="D3867" s="9">
        <v>0</v>
      </c>
      <c r="E3867" s="8">
        <v>318</v>
      </c>
    </row>
    <row r="3868" s="3" customFormat="1" ht="18.75" spans="1:5">
      <c r="A3868" s="8" t="str">
        <f t="shared" si="67"/>
        <v>250018</v>
      </c>
      <c r="B3868" s="8" t="str">
        <f>"2561404012021"</f>
        <v>2561404012021</v>
      </c>
      <c r="C3868" s="8" t="s">
        <v>10</v>
      </c>
      <c r="D3868" s="9">
        <v>0</v>
      </c>
      <c r="E3868" s="8">
        <v>318</v>
      </c>
    </row>
    <row r="3869" s="3" customFormat="1" ht="18.75" spans="1:5">
      <c r="A3869" s="8" t="str">
        <f t="shared" si="67"/>
        <v>250018</v>
      </c>
      <c r="B3869" s="8" t="str">
        <f>"2561404012022"</f>
        <v>2561404012022</v>
      </c>
      <c r="C3869" s="8" t="s">
        <v>10</v>
      </c>
      <c r="D3869" s="9">
        <v>0</v>
      </c>
      <c r="E3869" s="8">
        <v>318</v>
      </c>
    </row>
    <row r="3870" s="3" customFormat="1" ht="18.75" spans="1:5">
      <c r="A3870" s="8" t="str">
        <f t="shared" si="67"/>
        <v>250018</v>
      </c>
      <c r="B3870" s="8" t="str">
        <f>"2561404012023"</f>
        <v>2561404012023</v>
      </c>
      <c r="C3870" s="8" t="s">
        <v>10</v>
      </c>
      <c r="D3870" s="9">
        <v>0</v>
      </c>
      <c r="E3870" s="8">
        <v>318</v>
      </c>
    </row>
    <row r="3871" s="3" customFormat="1" ht="18.75" spans="1:5">
      <c r="A3871" s="8" t="str">
        <f t="shared" si="67"/>
        <v>250018</v>
      </c>
      <c r="B3871" s="8" t="str">
        <f>"2561404012027"</f>
        <v>2561404012027</v>
      </c>
      <c r="C3871" s="8" t="s">
        <v>10</v>
      </c>
      <c r="D3871" s="9">
        <v>0</v>
      </c>
      <c r="E3871" s="8">
        <v>318</v>
      </c>
    </row>
    <row r="3872" s="3" customFormat="1" ht="18.75" spans="1:5">
      <c r="A3872" s="8" t="str">
        <f t="shared" si="67"/>
        <v>250018</v>
      </c>
      <c r="B3872" s="8" t="str">
        <f>"2561404012029"</f>
        <v>2561404012029</v>
      </c>
      <c r="C3872" s="8" t="s">
        <v>10</v>
      </c>
      <c r="D3872" s="9">
        <v>0</v>
      </c>
      <c r="E3872" s="8">
        <v>318</v>
      </c>
    </row>
    <row r="3873" s="3" customFormat="1" ht="18.75" spans="1:5">
      <c r="A3873" s="8" t="str">
        <f t="shared" si="67"/>
        <v>250018</v>
      </c>
      <c r="B3873" s="8" t="str">
        <f>"2561404012030"</f>
        <v>2561404012030</v>
      </c>
      <c r="C3873" s="8" t="s">
        <v>10</v>
      </c>
      <c r="D3873" s="9">
        <v>0</v>
      </c>
      <c r="E3873" s="8">
        <v>318</v>
      </c>
    </row>
    <row r="3874" s="3" customFormat="1" ht="18.75" spans="1:5">
      <c r="A3874" s="8" t="str">
        <f t="shared" si="67"/>
        <v>250018</v>
      </c>
      <c r="B3874" s="8" t="str">
        <f>"2561404012101"</f>
        <v>2561404012101</v>
      </c>
      <c r="C3874" s="8" t="s">
        <v>10</v>
      </c>
      <c r="D3874" s="9">
        <v>0</v>
      </c>
      <c r="E3874" s="8">
        <v>318</v>
      </c>
    </row>
    <row r="3875" s="3" customFormat="1" ht="18.75" spans="1:5">
      <c r="A3875" s="8" t="str">
        <f t="shared" si="67"/>
        <v>250018</v>
      </c>
      <c r="B3875" s="8" t="str">
        <f>"2561404012102"</f>
        <v>2561404012102</v>
      </c>
      <c r="C3875" s="8" t="s">
        <v>10</v>
      </c>
      <c r="D3875" s="9">
        <v>0</v>
      </c>
      <c r="E3875" s="8">
        <v>318</v>
      </c>
    </row>
    <row r="3876" s="3" customFormat="1" ht="18.75" spans="1:5">
      <c r="A3876" s="8" t="str">
        <f t="shared" si="67"/>
        <v>250018</v>
      </c>
      <c r="B3876" s="8" t="str">
        <f>"2561404012104"</f>
        <v>2561404012104</v>
      </c>
      <c r="C3876" s="8" t="s">
        <v>10</v>
      </c>
      <c r="D3876" s="9">
        <v>0</v>
      </c>
      <c r="E3876" s="8">
        <v>318</v>
      </c>
    </row>
    <row r="3877" s="3" customFormat="1" ht="18.75" spans="1:5">
      <c r="A3877" s="8" t="str">
        <f t="shared" si="67"/>
        <v>250018</v>
      </c>
      <c r="B3877" s="8" t="str">
        <f>"2561404012105"</f>
        <v>2561404012105</v>
      </c>
      <c r="C3877" s="8" t="s">
        <v>10</v>
      </c>
      <c r="D3877" s="9">
        <v>0</v>
      </c>
      <c r="E3877" s="8">
        <v>318</v>
      </c>
    </row>
    <row r="3878" s="3" customFormat="1" ht="18.75" spans="1:5">
      <c r="A3878" s="8" t="str">
        <f t="shared" si="67"/>
        <v>250018</v>
      </c>
      <c r="B3878" s="8" t="str">
        <f>"2561404012106"</f>
        <v>2561404012106</v>
      </c>
      <c r="C3878" s="8" t="s">
        <v>10</v>
      </c>
      <c r="D3878" s="9">
        <v>0</v>
      </c>
      <c r="E3878" s="8">
        <v>318</v>
      </c>
    </row>
    <row r="3879" s="3" customFormat="1" ht="18.75" spans="1:5">
      <c r="A3879" s="8" t="str">
        <f t="shared" si="67"/>
        <v>250018</v>
      </c>
      <c r="B3879" s="8" t="str">
        <f>"2561404012107"</f>
        <v>2561404012107</v>
      </c>
      <c r="C3879" s="8" t="s">
        <v>10</v>
      </c>
      <c r="D3879" s="9">
        <v>0</v>
      </c>
      <c r="E3879" s="8">
        <v>318</v>
      </c>
    </row>
    <row r="3880" s="3" customFormat="1" ht="18.75" spans="1:5">
      <c r="A3880" s="8" t="str">
        <f t="shared" ref="A3880:A3943" si="68">"250018"</f>
        <v>250018</v>
      </c>
      <c r="B3880" s="8" t="str">
        <f>"2561404012108"</f>
        <v>2561404012108</v>
      </c>
      <c r="C3880" s="8" t="s">
        <v>10</v>
      </c>
      <c r="D3880" s="9">
        <v>0</v>
      </c>
      <c r="E3880" s="8">
        <v>318</v>
      </c>
    </row>
    <row r="3881" s="3" customFormat="1" ht="18.75" spans="1:5">
      <c r="A3881" s="8" t="str">
        <f t="shared" si="68"/>
        <v>250018</v>
      </c>
      <c r="B3881" s="8" t="str">
        <f>"2561404012109"</f>
        <v>2561404012109</v>
      </c>
      <c r="C3881" s="8" t="s">
        <v>10</v>
      </c>
      <c r="D3881" s="9">
        <v>0</v>
      </c>
      <c r="E3881" s="8">
        <v>318</v>
      </c>
    </row>
    <row r="3882" s="3" customFormat="1" ht="18.75" spans="1:5">
      <c r="A3882" s="8" t="str">
        <f t="shared" si="68"/>
        <v>250018</v>
      </c>
      <c r="B3882" s="8" t="str">
        <f>"2561404012110"</f>
        <v>2561404012110</v>
      </c>
      <c r="C3882" s="8" t="s">
        <v>10</v>
      </c>
      <c r="D3882" s="9">
        <v>0</v>
      </c>
      <c r="E3882" s="8">
        <v>318</v>
      </c>
    </row>
    <row r="3883" s="3" customFormat="1" ht="18.75" spans="1:5">
      <c r="A3883" s="8" t="str">
        <f t="shared" si="68"/>
        <v>250018</v>
      </c>
      <c r="B3883" s="8" t="str">
        <f>"2561404012111"</f>
        <v>2561404012111</v>
      </c>
      <c r="C3883" s="8" t="s">
        <v>10</v>
      </c>
      <c r="D3883" s="9">
        <v>0</v>
      </c>
      <c r="E3883" s="8">
        <v>318</v>
      </c>
    </row>
    <row r="3884" s="3" customFormat="1" ht="18.75" spans="1:5">
      <c r="A3884" s="8" t="str">
        <f t="shared" si="68"/>
        <v>250018</v>
      </c>
      <c r="B3884" s="8" t="str">
        <f>"2561404012115"</f>
        <v>2561404012115</v>
      </c>
      <c r="C3884" s="8" t="s">
        <v>10</v>
      </c>
      <c r="D3884" s="9">
        <v>0</v>
      </c>
      <c r="E3884" s="8">
        <v>318</v>
      </c>
    </row>
    <row r="3885" s="3" customFormat="1" ht="18.75" spans="1:5">
      <c r="A3885" s="8" t="str">
        <f t="shared" si="68"/>
        <v>250018</v>
      </c>
      <c r="B3885" s="8" t="str">
        <f>"2561404012117"</f>
        <v>2561404012117</v>
      </c>
      <c r="C3885" s="8" t="s">
        <v>10</v>
      </c>
      <c r="D3885" s="9">
        <v>0</v>
      </c>
      <c r="E3885" s="8">
        <v>318</v>
      </c>
    </row>
    <row r="3886" s="3" customFormat="1" ht="18.75" spans="1:5">
      <c r="A3886" s="8" t="str">
        <f t="shared" si="68"/>
        <v>250018</v>
      </c>
      <c r="B3886" s="8" t="str">
        <f>"2561404012118"</f>
        <v>2561404012118</v>
      </c>
      <c r="C3886" s="8" t="s">
        <v>10</v>
      </c>
      <c r="D3886" s="9">
        <v>0</v>
      </c>
      <c r="E3886" s="8">
        <v>318</v>
      </c>
    </row>
    <row r="3887" s="3" customFormat="1" ht="18.75" spans="1:5">
      <c r="A3887" s="8" t="str">
        <f t="shared" si="68"/>
        <v>250018</v>
      </c>
      <c r="B3887" s="8" t="str">
        <f>"2561404012119"</f>
        <v>2561404012119</v>
      </c>
      <c r="C3887" s="8" t="s">
        <v>10</v>
      </c>
      <c r="D3887" s="9">
        <v>0</v>
      </c>
      <c r="E3887" s="8">
        <v>318</v>
      </c>
    </row>
    <row r="3888" s="3" customFormat="1" ht="18.75" spans="1:5">
      <c r="A3888" s="8" t="str">
        <f t="shared" si="68"/>
        <v>250018</v>
      </c>
      <c r="B3888" s="8" t="str">
        <f>"2561404012120"</f>
        <v>2561404012120</v>
      </c>
      <c r="C3888" s="8" t="s">
        <v>10</v>
      </c>
      <c r="D3888" s="9">
        <v>0</v>
      </c>
      <c r="E3888" s="8">
        <v>318</v>
      </c>
    </row>
    <row r="3889" s="3" customFormat="1" ht="18.75" spans="1:5">
      <c r="A3889" s="8" t="str">
        <f t="shared" si="68"/>
        <v>250018</v>
      </c>
      <c r="B3889" s="8" t="str">
        <f>"2561404012122"</f>
        <v>2561404012122</v>
      </c>
      <c r="C3889" s="8" t="s">
        <v>10</v>
      </c>
      <c r="D3889" s="9">
        <v>0</v>
      </c>
      <c r="E3889" s="8">
        <v>318</v>
      </c>
    </row>
    <row r="3890" s="3" customFormat="1" ht="18.75" spans="1:5">
      <c r="A3890" s="8" t="str">
        <f t="shared" si="68"/>
        <v>250018</v>
      </c>
      <c r="B3890" s="8" t="str">
        <f>"2561404012123"</f>
        <v>2561404012123</v>
      </c>
      <c r="C3890" s="8" t="s">
        <v>10</v>
      </c>
      <c r="D3890" s="9">
        <v>0</v>
      </c>
      <c r="E3890" s="8">
        <v>318</v>
      </c>
    </row>
    <row r="3891" s="3" customFormat="1" ht="18.75" spans="1:5">
      <c r="A3891" s="8" t="str">
        <f t="shared" si="68"/>
        <v>250018</v>
      </c>
      <c r="B3891" s="8" t="str">
        <f>"2561404012124"</f>
        <v>2561404012124</v>
      </c>
      <c r="C3891" s="8" t="s">
        <v>10</v>
      </c>
      <c r="D3891" s="9">
        <v>0</v>
      </c>
      <c r="E3891" s="8">
        <v>318</v>
      </c>
    </row>
    <row r="3892" s="3" customFormat="1" ht="18.75" spans="1:5">
      <c r="A3892" s="8" t="str">
        <f t="shared" si="68"/>
        <v>250018</v>
      </c>
      <c r="B3892" s="8" t="str">
        <f>"2561404012125"</f>
        <v>2561404012125</v>
      </c>
      <c r="C3892" s="8" t="s">
        <v>10</v>
      </c>
      <c r="D3892" s="9">
        <v>0</v>
      </c>
      <c r="E3892" s="8">
        <v>318</v>
      </c>
    </row>
    <row r="3893" s="3" customFormat="1" ht="18.75" spans="1:5">
      <c r="A3893" s="8" t="str">
        <f t="shared" si="68"/>
        <v>250018</v>
      </c>
      <c r="B3893" s="8" t="str">
        <f>"2561404012126"</f>
        <v>2561404012126</v>
      </c>
      <c r="C3893" s="8" t="s">
        <v>10</v>
      </c>
      <c r="D3893" s="9">
        <v>0</v>
      </c>
      <c r="E3893" s="8">
        <v>318</v>
      </c>
    </row>
    <row r="3894" s="3" customFormat="1" ht="18.75" spans="1:5">
      <c r="A3894" s="8" t="str">
        <f t="shared" si="68"/>
        <v>250018</v>
      </c>
      <c r="B3894" s="8" t="str">
        <f>"2561404012127"</f>
        <v>2561404012127</v>
      </c>
      <c r="C3894" s="8" t="s">
        <v>10</v>
      </c>
      <c r="D3894" s="9">
        <v>0</v>
      </c>
      <c r="E3894" s="8">
        <v>318</v>
      </c>
    </row>
    <row r="3895" s="3" customFormat="1" ht="18.75" spans="1:5">
      <c r="A3895" s="8" t="str">
        <f t="shared" si="68"/>
        <v>250018</v>
      </c>
      <c r="B3895" s="8" t="str">
        <f>"2561404012129"</f>
        <v>2561404012129</v>
      </c>
      <c r="C3895" s="8" t="s">
        <v>10</v>
      </c>
      <c r="D3895" s="9">
        <v>0</v>
      </c>
      <c r="E3895" s="8">
        <v>318</v>
      </c>
    </row>
    <row r="3896" s="3" customFormat="1" ht="18.75" spans="1:5">
      <c r="A3896" s="8" t="str">
        <f t="shared" si="68"/>
        <v>250018</v>
      </c>
      <c r="B3896" s="8" t="str">
        <f>"2561404012130"</f>
        <v>2561404012130</v>
      </c>
      <c r="C3896" s="8" t="s">
        <v>10</v>
      </c>
      <c r="D3896" s="9">
        <v>0</v>
      </c>
      <c r="E3896" s="8">
        <v>318</v>
      </c>
    </row>
    <row r="3897" s="3" customFormat="1" ht="18.75" spans="1:5">
      <c r="A3897" s="8" t="str">
        <f t="shared" si="68"/>
        <v>250018</v>
      </c>
      <c r="B3897" s="8" t="str">
        <f>"2561404012202"</f>
        <v>2561404012202</v>
      </c>
      <c r="C3897" s="8" t="s">
        <v>10</v>
      </c>
      <c r="D3897" s="9">
        <v>0</v>
      </c>
      <c r="E3897" s="8">
        <v>318</v>
      </c>
    </row>
    <row r="3898" s="3" customFormat="1" ht="18.75" spans="1:5">
      <c r="A3898" s="8" t="str">
        <f t="shared" si="68"/>
        <v>250018</v>
      </c>
      <c r="B3898" s="8" t="str">
        <f>"2561404012203"</f>
        <v>2561404012203</v>
      </c>
      <c r="C3898" s="8" t="s">
        <v>10</v>
      </c>
      <c r="D3898" s="9">
        <v>0</v>
      </c>
      <c r="E3898" s="8">
        <v>318</v>
      </c>
    </row>
    <row r="3899" s="3" customFormat="1" ht="18.75" spans="1:5">
      <c r="A3899" s="8" t="str">
        <f t="shared" si="68"/>
        <v>250018</v>
      </c>
      <c r="B3899" s="8" t="str">
        <f>"2561404012204"</f>
        <v>2561404012204</v>
      </c>
      <c r="C3899" s="8" t="s">
        <v>10</v>
      </c>
      <c r="D3899" s="9">
        <v>0</v>
      </c>
      <c r="E3899" s="8">
        <v>318</v>
      </c>
    </row>
    <row r="3900" s="3" customFormat="1" ht="18.75" spans="1:5">
      <c r="A3900" s="8" t="str">
        <f t="shared" si="68"/>
        <v>250018</v>
      </c>
      <c r="B3900" s="8" t="str">
        <f>"2561404012205"</f>
        <v>2561404012205</v>
      </c>
      <c r="C3900" s="8" t="s">
        <v>10</v>
      </c>
      <c r="D3900" s="9">
        <v>0</v>
      </c>
      <c r="E3900" s="8">
        <v>318</v>
      </c>
    </row>
    <row r="3901" s="3" customFormat="1" ht="18.75" spans="1:5">
      <c r="A3901" s="8" t="str">
        <f t="shared" si="68"/>
        <v>250018</v>
      </c>
      <c r="B3901" s="8" t="str">
        <f>"2561404012207"</f>
        <v>2561404012207</v>
      </c>
      <c r="C3901" s="8" t="s">
        <v>10</v>
      </c>
      <c r="D3901" s="9">
        <v>0</v>
      </c>
      <c r="E3901" s="8">
        <v>318</v>
      </c>
    </row>
    <row r="3902" s="3" customFormat="1" ht="18.75" spans="1:5">
      <c r="A3902" s="8" t="str">
        <f t="shared" si="68"/>
        <v>250018</v>
      </c>
      <c r="B3902" s="8" t="str">
        <f>"2561404012208"</f>
        <v>2561404012208</v>
      </c>
      <c r="C3902" s="8" t="s">
        <v>10</v>
      </c>
      <c r="D3902" s="9">
        <v>0</v>
      </c>
      <c r="E3902" s="8">
        <v>318</v>
      </c>
    </row>
    <row r="3903" s="3" customFormat="1" ht="18.75" spans="1:5">
      <c r="A3903" s="8" t="str">
        <f t="shared" si="68"/>
        <v>250018</v>
      </c>
      <c r="B3903" s="8" t="str">
        <f>"2561404012209"</f>
        <v>2561404012209</v>
      </c>
      <c r="C3903" s="8" t="s">
        <v>10</v>
      </c>
      <c r="D3903" s="9">
        <v>0</v>
      </c>
      <c r="E3903" s="8">
        <v>318</v>
      </c>
    </row>
    <row r="3904" s="3" customFormat="1" ht="18.75" spans="1:5">
      <c r="A3904" s="8" t="str">
        <f t="shared" si="68"/>
        <v>250018</v>
      </c>
      <c r="B3904" s="8" t="str">
        <f>"2561404012210"</f>
        <v>2561404012210</v>
      </c>
      <c r="C3904" s="8" t="s">
        <v>10</v>
      </c>
      <c r="D3904" s="9">
        <v>0</v>
      </c>
      <c r="E3904" s="8">
        <v>318</v>
      </c>
    </row>
    <row r="3905" s="3" customFormat="1" ht="18.75" spans="1:5">
      <c r="A3905" s="8" t="str">
        <f t="shared" si="68"/>
        <v>250018</v>
      </c>
      <c r="B3905" s="8" t="str">
        <f>"2561404012211"</f>
        <v>2561404012211</v>
      </c>
      <c r="C3905" s="8" t="s">
        <v>10</v>
      </c>
      <c r="D3905" s="9">
        <v>0</v>
      </c>
      <c r="E3905" s="8">
        <v>318</v>
      </c>
    </row>
    <row r="3906" s="3" customFormat="1" ht="18.75" spans="1:5">
      <c r="A3906" s="8" t="str">
        <f t="shared" si="68"/>
        <v>250018</v>
      </c>
      <c r="B3906" s="8" t="str">
        <f>"2561404012213"</f>
        <v>2561404012213</v>
      </c>
      <c r="C3906" s="8" t="s">
        <v>10</v>
      </c>
      <c r="D3906" s="9">
        <v>0</v>
      </c>
      <c r="E3906" s="8">
        <v>318</v>
      </c>
    </row>
    <row r="3907" s="3" customFormat="1" ht="18.75" spans="1:5">
      <c r="A3907" s="8" t="str">
        <f t="shared" si="68"/>
        <v>250018</v>
      </c>
      <c r="B3907" s="8" t="str">
        <f>"2561404012214"</f>
        <v>2561404012214</v>
      </c>
      <c r="C3907" s="8" t="s">
        <v>10</v>
      </c>
      <c r="D3907" s="9">
        <v>0</v>
      </c>
      <c r="E3907" s="8">
        <v>318</v>
      </c>
    </row>
    <row r="3908" s="3" customFormat="1" ht="18.75" spans="1:5">
      <c r="A3908" s="8" t="str">
        <f t="shared" si="68"/>
        <v>250018</v>
      </c>
      <c r="B3908" s="8" t="str">
        <f>"2561404012215"</f>
        <v>2561404012215</v>
      </c>
      <c r="C3908" s="8" t="s">
        <v>10</v>
      </c>
      <c r="D3908" s="9">
        <v>0</v>
      </c>
      <c r="E3908" s="8">
        <v>318</v>
      </c>
    </row>
    <row r="3909" s="3" customFormat="1" ht="18.75" spans="1:5">
      <c r="A3909" s="8" t="str">
        <f t="shared" si="68"/>
        <v>250018</v>
      </c>
      <c r="B3909" s="8" t="str">
        <f>"2561404012217"</f>
        <v>2561404012217</v>
      </c>
      <c r="C3909" s="8" t="s">
        <v>10</v>
      </c>
      <c r="D3909" s="9">
        <v>0</v>
      </c>
      <c r="E3909" s="8">
        <v>318</v>
      </c>
    </row>
    <row r="3910" s="3" customFormat="1" ht="18.75" spans="1:5">
      <c r="A3910" s="8" t="str">
        <f t="shared" si="68"/>
        <v>250018</v>
      </c>
      <c r="B3910" s="8" t="str">
        <f>"2561404012218"</f>
        <v>2561404012218</v>
      </c>
      <c r="C3910" s="8" t="s">
        <v>10</v>
      </c>
      <c r="D3910" s="9">
        <v>0</v>
      </c>
      <c r="E3910" s="8">
        <v>318</v>
      </c>
    </row>
    <row r="3911" s="3" customFormat="1" ht="18.75" spans="1:5">
      <c r="A3911" s="8" t="str">
        <f t="shared" si="68"/>
        <v>250018</v>
      </c>
      <c r="B3911" s="8" t="str">
        <f>"2561404012219"</f>
        <v>2561404012219</v>
      </c>
      <c r="C3911" s="8" t="s">
        <v>10</v>
      </c>
      <c r="D3911" s="9">
        <v>0</v>
      </c>
      <c r="E3911" s="8">
        <v>318</v>
      </c>
    </row>
    <row r="3912" s="3" customFormat="1" ht="18.75" spans="1:5">
      <c r="A3912" s="8" t="str">
        <f t="shared" si="68"/>
        <v>250018</v>
      </c>
      <c r="B3912" s="8" t="str">
        <f>"2561404012222"</f>
        <v>2561404012222</v>
      </c>
      <c r="C3912" s="8" t="s">
        <v>10</v>
      </c>
      <c r="D3912" s="9">
        <v>0</v>
      </c>
      <c r="E3912" s="8">
        <v>318</v>
      </c>
    </row>
    <row r="3913" s="3" customFormat="1" ht="18.75" spans="1:5">
      <c r="A3913" s="8" t="str">
        <f t="shared" si="68"/>
        <v>250018</v>
      </c>
      <c r="B3913" s="8" t="str">
        <f>"2561404012223"</f>
        <v>2561404012223</v>
      </c>
      <c r="C3913" s="8" t="s">
        <v>10</v>
      </c>
      <c r="D3913" s="9">
        <v>0</v>
      </c>
      <c r="E3913" s="8">
        <v>318</v>
      </c>
    </row>
    <row r="3914" s="3" customFormat="1" ht="18.75" spans="1:5">
      <c r="A3914" s="8" t="str">
        <f t="shared" si="68"/>
        <v>250018</v>
      </c>
      <c r="B3914" s="8" t="str">
        <f>"2561404012224"</f>
        <v>2561404012224</v>
      </c>
      <c r="C3914" s="8" t="s">
        <v>10</v>
      </c>
      <c r="D3914" s="9">
        <v>0</v>
      </c>
      <c r="E3914" s="8">
        <v>318</v>
      </c>
    </row>
    <row r="3915" s="3" customFormat="1" ht="18.75" spans="1:5">
      <c r="A3915" s="8" t="str">
        <f t="shared" si="68"/>
        <v>250018</v>
      </c>
      <c r="B3915" s="8" t="str">
        <f>"2561404012226"</f>
        <v>2561404012226</v>
      </c>
      <c r="C3915" s="8" t="s">
        <v>10</v>
      </c>
      <c r="D3915" s="9">
        <v>0</v>
      </c>
      <c r="E3915" s="8">
        <v>318</v>
      </c>
    </row>
    <row r="3916" s="3" customFormat="1" ht="18.75" spans="1:5">
      <c r="A3916" s="8" t="str">
        <f t="shared" si="68"/>
        <v>250018</v>
      </c>
      <c r="B3916" s="8" t="str">
        <f>"2561404012229"</f>
        <v>2561404012229</v>
      </c>
      <c r="C3916" s="8" t="s">
        <v>10</v>
      </c>
      <c r="D3916" s="9">
        <v>0</v>
      </c>
      <c r="E3916" s="8">
        <v>318</v>
      </c>
    </row>
    <row r="3917" s="3" customFormat="1" ht="18.75" spans="1:5">
      <c r="A3917" s="8" t="str">
        <f t="shared" si="68"/>
        <v>250018</v>
      </c>
      <c r="B3917" s="8" t="str">
        <f>"2561404012230"</f>
        <v>2561404012230</v>
      </c>
      <c r="C3917" s="8" t="s">
        <v>10</v>
      </c>
      <c r="D3917" s="9">
        <v>0</v>
      </c>
      <c r="E3917" s="8">
        <v>318</v>
      </c>
    </row>
    <row r="3918" s="3" customFormat="1" ht="18.75" spans="1:5">
      <c r="A3918" s="8" t="str">
        <f t="shared" si="68"/>
        <v>250018</v>
      </c>
      <c r="B3918" s="8" t="str">
        <f>"2561404012301"</f>
        <v>2561404012301</v>
      </c>
      <c r="C3918" s="8" t="s">
        <v>10</v>
      </c>
      <c r="D3918" s="9">
        <v>0</v>
      </c>
      <c r="E3918" s="8">
        <v>318</v>
      </c>
    </row>
    <row r="3919" s="3" customFormat="1" ht="18.75" spans="1:5">
      <c r="A3919" s="8" t="str">
        <f t="shared" si="68"/>
        <v>250018</v>
      </c>
      <c r="B3919" s="8" t="str">
        <f>"2561404012302"</f>
        <v>2561404012302</v>
      </c>
      <c r="C3919" s="8" t="s">
        <v>10</v>
      </c>
      <c r="D3919" s="9">
        <v>0</v>
      </c>
      <c r="E3919" s="8">
        <v>318</v>
      </c>
    </row>
    <row r="3920" s="3" customFormat="1" ht="18.75" spans="1:5">
      <c r="A3920" s="8" t="str">
        <f t="shared" si="68"/>
        <v>250018</v>
      </c>
      <c r="B3920" s="8" t="str">
        <f>"2561404012304"</f>
        <v>2561404012304</v>
      </c>
      <c r="C3920" s="8" t="s">
        <v>10</v>
      </c>
      <c r="D3920" s="9">
        <v>0</v>
      </c>
      <c r="E3920" s="8">
        <v>318</v>
      </c>
    </row>
    <row r="3921" s="3" customFormat="1" ht="18.75" spans="1:5">
      <c r="A3921" s="8" t="str">
        <f t="shared" si="68"/>
        <v>250018</v>
      </c>
      <c r="B3921" s="8" t="str">
        <f>"2561404012305"</f>
        <v>2561404012305</v>
      </c>
      <c r="C3921" s="8" t="s">
        <v>10</v>
      </c>
      <c r="D3921" s="9">
        <v>0</v>
      </c>
      <c r="E3921" s="8">
        <v>318</v>
      </c>
    </row>
    <row r="3922" s="3" customFormat="1" ht="18.75" spans="1:5">
      <c r="A3922" s="8" t="str">
        <f t="shared" si="68"/>
        <v>250018</v>
      </c>
      <c r="B3922" s="8" t="str">
        <f>"2561404012306"</f>
        <v>2561404012306</v>
      </c>
      <c r="C3922" s="8" t="s">
        <v>10</v>
      </c>
      <c r="D3922" s="9">
        <v>0</v>
      </c>
      <c r="E3922" s="8">
        <v>318</v>
      </c>
    </row>
    <row r="3923" s="3" customFormat="1" ht="18.75" spans="1:5">
      <c r="A3923" s="8" t="str">
        <f t="shared" si="68"/>
        <v>250018</v>
      </c>
      <c r="B3923" s="8" t="str">
        <f>"2561404012307"</f>
        <v>2561404012307</v>
      </c>
      <c r="C3923" s="8" t="s">
        <v>10</v>
      </c>
      <c r="D3923" s="9">
        <v>0</v>
      </c>
      <c r="E3923" s="8">
        <v>318</v>
      </c>
    </row>
    <row r="3924" s="3" customFormat="1" ht="18.75" spans="1:5">
      <c r="A3924" s="8" t="str">
        <f t="shared" si="68"/>
        <v>250018</v>
      </c>
      <c r="B3924" s="8" t="str">
        <f>"2561404012309"</f>
        <v>2561404012309</v>
      </c>
      <c r="C3924" s="8" t="s">
        <v>10</v>
      </c>
      <c r="D3924" s="9">
        <v>0</v>
      </c>
      <c r="E3924" s="8">
        <v>318</v>
      </c>
    </row>
    <row r="3925" s="3" customFormat="1" ht="18.75" spans="1:5">
      <c r="A3925" s="8" t="str">
        <f t="shared" si="68"/>
        <v>250018</v>
      </c>
      <c r="B3925" s="8" t="str">
        <f>"2561404012310"</f>
        <v>2561404012310</v>
      </c>
      <c r="C3925" s="8" t="s">
        <v>10</v>
      </c>
      <c r="D3925" s="9">
        <v>0</v>
      </c>
      <c r="E3925" s="8">
        <v>318</v>
      </c>
    </row>
    <row r="3926" s="3" customFormat="1" ht="18.75" spans="1:5">
      <c r="A3926" s="8" t="str">
        <f t="shared" si="68"/>
        <v>250018</v>
      </c>
      <c r="B3926" s="8" t="str">
        <f>"2561404012311"</f>
        <v>2561404012311</v>
      </c>
      <c r="C3926" s="8" t="s">
        <v>10</v>
      </c>
      <c r="D3926" s="9">
        <v>0</v>
      </c>
      <c r="E3926" s="8">
        <v>318</v>
      </c>
    </row>
    <row r="3927" s="3" customFormat="1" ht="18.75" spans="1:5">
      <c r="A3927" s="8" t="str">
        <f t="shared" si="68"/>
        <v>250018</v>
      </c>
      <c r="B3927" s="8" t="str">
        <f>"2561404012312"</f>
        <v>2561404012312</v>
      </c>
      <c r="C3927" s="8" t="s">
        <v>10</v>
      </c>
      <c r="D3927" s="9">
        <v>0</v>
      </c>
      <c r="E3927" s="8">
        <v>318</v>
      </c>
    </row>
    <row r="3928" s="3" customFormat="1" ht="18.75" spans="1:5">
      <c r="A3928" s="8" t="str">
        <f t="shared" si="68"/>
        <v>250018</v>
      </c>
      <c r="B3928" s="8" t="str">
        <f>"2561404012314"</f>
        <v>2561404012314</v>
      </c>
      <c r="C3928" s="8" t="s">
        <v>10</v>
      </c>
      <c r="D3928" s="9">
        <v>0</v>
      </c>
      <c r="E3928" s="8">
        <v>318</v>
      </c>
    </row>
    <row r="3929" s="3" customFormat="1" ht="18.75" spans="1:5">
      <c r="A3929" s="8" t="str">
        <f t="shared" si="68"/>
        <v>250018</v>
      </c>
      <c r="B3929" s="8" t="str">
        <f>"2561404012315"</f>
        <v>2561404012315</v>
      </c>
      <c r="C3929" s="8" t="s">
        <v>10</v>
      </c>
      <c r="D3929" s="9">
        <v>0</v>
      </c>
      <c r="E3929" s="8">
        <v>318</v>
      </c>
    </row>
    <row r="3930" s="3" customFormat="1" ht="18.75" spans="1:5">
      <c r="A3930" s="8" t="str">
        <f t="shared" si="68"/>
        <v>250018</v>
      </c>
      <c r="B3930" s="8" t="str">
        <f>"2561404012317"</f>
        <v>2561404012317</v>
      </c>
      <c r="C3930" s="8" t="s">
        <v>10</v>
      </c>
      <c r="D3930" s="9">
        <v>0</v>
      </c>
      <c r="E3930" s="8">
        <v>318</v>
      </c>
    </row>
    <row r="3931" s="3" customFormat="1" ht="18.75" spans="1:5">
      <c r="A3931" s="8" t="str">
        <f t="shared" si="68"/>
        <v>250018</v>
      </c>
      <c r="B3931" s="8" t="str">
        <f>"2561404012318"</f>
        <v>2561404012318</v>
      </c>
      <c r="C3931" s="8" t="s">
        <v>10</v>
      </c>
      <c r="D3931" s="9">
        <v>0</v>
      </c>
      <c r="E3931" s="8">
        <v>318</v>
      </c>
    </row>
    <row r="3932" s="3" customFormat="1" ht="18.75" spans="1:5">
      <c r="A3932" s="8" t="str">
        <f t="shared" si="68"/>
        <v>250018</v>
      </c>
      <c r="B3932" s="8" t="str">
        <f>"2561404012319"</f>
        <v>2561404012319</v>
      </c>
      <c r="C3932" s="8" t="s">
        <v>10</v>
      </c>
      <c r="D3932" s="9">
        <v>0</v>
      </c>
      <c r="E3932" s="8">
        <v>318</v>
      </c>
    </row>
    <row r="3933" s="3" customFormat="1" ht="18.75" spans="1:5">
      <c r="A3933" s="8" t="str">
        <f t="shared" si="68"/>
        <v>250018</v>
      </c>
      <c r="B3933" s="8" t="str">
        <f>"2561404012321"</f>
        <v>2561404012321</v>
      </c>
      <c r="C3933" s="8" t="s">
        <v>10</v>
      </c>
      <c r="D3933" s="9">
        <v>0</v>
      </c>
      <c r="E3933" s="8">
        <v>318</v>
      </c>
    </row>
    <row r="3934" s="3" customFormat="1" ht="18.75" spans="1:5">
      <c r="A3934" s="8" t="str">
        <f t="shared" si="68"/>
        <v>250018</v>
      </c>
      <c r="B3934" s="8" t="str">
        <f>"2561404012322"</f>
        <v>2561404012322</v>
      </c>
      <c r="C3934" s="8" t="s">
        <v>10</v>
      </c>
      <c r="D3934" s="9">
        <v>0</v>
      </c>
      <c r="E3934" s="8">
        <v>318</v>
      </c>
    </row>
    <row r="3935" s="3" customFormat="1" ht="18.75" spans="1:5">
      <c r="A3935" s="8" t="str">
        <f t="shared" si="68"/>
        <v>250018</v>
      </c>
      <c r="B3935" s="8" t="str">
        <f>"2561404012323"</f>
        <v>2561404012323</v>
      </c>
      <c r="C3935" s="8" t="s">
        <v>10</v>
      </c>
      <c r="D3935" s="9">
        <v>0</v>
      </c>
      <c r="E3935" s="8">
        <v>318</v>
      </c>
    </row>
    <row r="3936" s="3" customFormat="1" ht="18.75" spans="1:5">
      <c r="A3936" s="8" t="str">
        <f t="shared" si="68"/>
        <v>250018</v>
      </c>
      <c r="B3936" s="8" t="str">
        <f>"2561404012324"</f>
        <v>2561404012324</v>
      </c>
      <c r="C3936" s="8" t="s">
        <v>10</v>
      </c>
      <c r="D3936" s="9">
        <v>0</v>
      </c>
      <c r="E3936" s="8">
        <v>318</v>
      </c>
    </row>
    <row r="3937" s="3" customFormat="1" ht="18.75" spans="1:5">
      <c r="A3937" s="8" t="str">
        <f t="shared" si="68"/>
        <v>250018</v>
      </c>
      <c r="B3937" s="8" t="str">
        <f>"2561404012326"</f>
        <v>2561404012326</v>
      </c>
      <c r="C3937" s="8" t="s">
        <v>10</v>
      </c>
      <c r="D3937" s="9">
        <v>0</v>
      </c>
      <c r="E3937" s="8">
        <v>318</v>
      </c>
    </row>
    <row r="3938" s="3" customFormat="1" ht="18.75" spans="1:5">
      <c r="A3938" s="8" t="str">
        <f t="shared" si="68"/>
        <v>250018</v>
      </c>
      <c r="B3938" s="8" t="str">
        <f>"2561404012328"</f>
        <v>2561404012328</v>
      </c>
      <c r="C3938" s="8" t="s">
        <v>10</v>
      </c>
      <c r="D3938" s="9">
        <v>0</v>
      </c>
      <c r="E3938" s="8">
        <v>318</v>
      </c>
    </row>
    <row r="3939" s="3" customFormat="1" ht="18.75" spans="1:5">
      <c r="A3939" s="8" t="str">
        <f t="shared" si="68"/>
        <v>250018</v>
      </c>
      <c r="B3939" s="8" t="str">
        <f>"2561404012329"</f>
        <v>2561404012329</v>
      </c>
      <c r="C3939" s="8" t="s">
        <v>10</v>
      </c>
      <c r="D3939" s="9">
        <v>0</v>
      </c>
      <c r="E3939" s="8">
        <v>318</v>
      </c>
    </row>
    <row r="3940" s="3" customFormat="1" ht="18.75" spans="1:5">
      <c r="A3940" s="8" t="str">
        <f t="shared" si="68"/>
        <v>250018</v>
      </c>
      <c r="B3940" s="8" t="str">
        <f>"2561404012330"</f>
        <v>2561404012330</v>
      </c>
      <c r="C3940" s="8" t="s">
        <v>10</v>
      </c>
      <c r="D3940" s="9">
        <v>0</v>
      </c>
      <c r="E3940" s="8">
        <v>318</v>
      </c>
    </row>
    <row r="3941" s="3" customFormat="1" ht="18.75" spans="1:5">
      <c r="A3941" s="8" t="str">
        <f t="shared" si="68"/>
        <v>250018</v>
      </c>
      <c r="B3941" s="8" t="str">
        <f>"2561404012401"</f>
        <v>2561404012401</v>
      </c>
      <c r="C3941" s="8" t="s">
        <v>10</v>
      </c>
      <c r="D3941" s="9">
        <v>0</v>
      </c>
      <c r="E3941" s="8">
        <v>318</v>
      </c>
    </row>
    <row r="3942" s="3" customFormat="1" ht="18.75" spans="1:5">
      <c r="A3942" s="8" t="str">
        <f t="shared" si="68"/>
        <v>250018</v>
      </c>
      <c r="B3942" s="8" t="str">
        <f>"2561404012403"</f>
        <v>2561404012403</v>
      </c>
      <c r="C3942" s="8" t="s">
        <v>10</v>
      </c>
      <c r="D3942" s="9">
        <v>0</v>
      </c>
      <c r="E3942" s="8">
        <v>318</v>
      </c>
    </row>
    <row r="3943" s="3" customFormat="1" ht="18.75" spans="1:5">
      <c r="A3943" s="8" t="str">
        <f t="shared" si="68"/>
        <v>250018</v>
      </c>
      <c r="B3943" s="8" t="str">
        <f>"2561404012406"</f>
        <v>2561404012406</v>
      </c>
      <c r="C3943" s="8" t="s">
        <v>10</v>
      </c>
      <c r="D3943" s="9">
        <v>0</v>
      </c>
      <c r="E3943" s="8">
        <v>318</v>
      </c>
    </row>
    <row r="3944" s="3" customFormat="1" ht="18.75" spans="1:5">
      <c r="A3944" s="8" t="str">
        <f t="shared" ref="A3944:A4007" si="69">"250018"</f>
        <v>250018</v>
      </c>
      <c r="B3944" s="8" t="str">
        <f>"2561404012408"</f>
        <v>2561404012408</v>
      </c>
      <c r="C3944" s="8" t="s">
        <v>10</v>
      </c>
      <c r="D3944" s="9">
        <v>0</v>
      </c>
      <c r="E3944" s="8">
        <v>318</v>
      </c>
    </row>
    <row r="3945" s="3" customFormat="1" ht="18.75" spans="1:5">
      <c r="A3945" s="8" t="str">
        <f t="shared" si="69"/>
        <v>250018</v>
      </c>
      <c r="B3945" s="8" t="str">
        <f>"2561404012410"</f>
        <v>2561404012410</v>
      </c>
      <c r="C3945" s="8" t="s">
        <v>10</v>
      </c>
      <c r="D3945" s="9">
        <v>0</v>
      </c>
      <c r="E3945" s="8">
        <v>318</v>
      </c>
    </row>
    <row r="3946" s="3" customFormat="1" ht="18.75" spans="1:5">
      <c r="A3946" s="8" t="str">
        <f t="shared" si="69"/>
        <v>250018</v>
      </c>
      <c r="B3946" s="8" t="str">
        <f>"2561404012411"</f>
        <v>2561404012411</v>
      </c>
      <c r="C3946" s="8" t="s">
        <v>10</v>
      </c>
      <c r="D3946" s="9">
        <v>0</v>
      </c>
      <c r="E3946" s="8">
        <v>318</v>
      </c>
    </row>
    <row r="3947" s="3" customFormat="1" ht="18.75" spans="1:5">
      <c r="A3947" s="8" t="str">
        <f t="shared" si="69"/>
        <v>250018</v>
      </c>
      <c r="B3947" s="8" t="str">
        <f>"2561404012412"</f>
        <v>2561404012412</v>
      </c>
      <c r="C3947" s="8" t="s">
        <v>10</v>
      </c>
      <c r="D3947" s="9">
        <v>0</v>
      </c>
      <c r="E3947" s="8">
        <v>318</v>
      </c>
    </row>
    <row r="3948" s="3" customFormat="1" ht="18.75" spans="1:5">
      <c r="A3948" s="8" t="str">
        <f t="shared" si="69"/>
        <v>250018</v>
      </c>
      <c r="B3948" s="8" t="str">
        <f>"2561404012413"</f>
        <v>2561404012413</v>
      </c>
      <c r="C3948" s="8" t="s">
        <v>10</v>
      </c>
      <c r="D3948" s="9">
        <v>0</v>
      </c>
      <c r="E3948" s="8">
        <v>318</v>
      </c>
    </row>
    <row r="3949" s="3" customFormat="1" ht="18.75" spans="1:5">
      <c r="A3949" s="8" t="str">
        <f t="shared" si="69"/>
        <v>250018</v>
      </c>
      <c r="B3949" s="8" t="str">
        <f>"2561404012415"</f>
        <v>2561404012415</v>
      </c>
      <c r="C3949" s="8" t="s">
        <v>10</v>
      </c>
      <c r="D3949" s="9">
        <v>0</v>
      </c>
      <c r="E3949" s="8">
        <v>318</v>
      </c>
    </row>
    <row r="3950" s="3" customFormat="1" ht="18.75" spans="1:5">
      <c r="A3950" s="8" t="str">
        <f t="shared" si="69"/>
        <v>250018</v>
      </c>
      <c r="B3950" s="8" t="str">
        <f>"2561404012416"</f>
        <v>2561404012416</v>
      </c>
      <c r="C3950" s="8" t="s">
        <v>10</v>
      </c>
      <c r="D3950" s="9">
        <v>0</v>
      </c>
      <c r="E3950" s="8">
        <v>318</v>
      </c>
    </row>
    <row r="3951" s="3" customFormat="1" ht="18.75" spans="1:5">
      <c r="A3951" s="8" t="str">
        <f t="shared" si="69"/>
        <v>250018</v>
      </c>
      <c r="B3951" s="8" t="str">
        <f>"2561404012418"</f>
        <v>2561404012418</v>
      </c>
      <c r="C3951" s="8" t="s">
        <v>10</v>
      </c>
      <c r="D3951" s="9">
        <v>0</v>
      </c>
      <c r="E3951" s="8">
        <v>318</v>
      </c>
    </row>
    <row r="3952" s="3" customFormat="1" ht="18.75" spans="1:5">
      <c r="A3952" s="8" t="str">
        <f t="shared" si="69"/>
        <v>250018</v>
      </c>
      <c r="B3952" s="8" t="str">
        <f>"2561404012419"</f>
        <v>2561404012419</v>
      </c>
      <c r="C3952" s="8" t="s">
        <v>10</v>
      </c>
      <c r="D3952" s="9">
        <v>0</v>
      </c>
      <c r="E3952" s="8">
        <v>318</v>
      </c>
    </row>
    <row r="3953" s="3" customFormat="1" ht="18.75" spans="1:5">
      <c r="A3953" s="8" t="str">
        <f t="shared" si="69"/>
        <v>250018</v>
      </c>
      <c r="B3953" s="8" t="str">
        <f>"2561404012423"</f>
        <v>2561404012423</v>
      </c>
      <c r="C3953" s="8" t="s">
        <v>10</v>
      </c>
      <c r="D3953" s="9">
        <v>0</v>
      </c>
      <c r="E3953" s="8">
        <v>318</v>
      </c>
    </row>
    <row r="3954" s="3" customFormat="1" ht="18.75" spans="1:5">
      <c r="A3954" s="8" t="str">
        <f t="shared" si="69"/>
        <v>250018</v>
      </c>
      <c r="B3954" s="8" t="str">
        <f>"2561404012425"</f>
        <v>2561404012425</v>
      </c>
      <c r="C3954" s="8" t="s">
        <v>10</v>
      </c>
      <c r="D3954" s="9">
        <v>0</v>
      </c>
      <c r="E3954" s="8">
        <v>318</v>
      </c>
    </row>
    <row r="3955" s="3" customFormat="1" ht="18.75" spans="1:5">
      <c r="A3955" s="8" t="str">
        <f t="shared" si="69"/>
        <v>250018</v>
      </c>
      <c r="B3955" s="8" t="str">
        <f>"2561404012426"</f>
        <v>2561404012426</v>
      </c>
      <c r="C3955" s="8" t="s">
        <v>10</v>
      </c>
      <c r="D3955" s="9">
        <v>0</v>
      </c>
      <c r="E3955" s="8">
        <v>318</v>
      </c>
    </row>
    <row r="3956" s="3" customFormat="1" ht="18.75" spans="1:5">
      <c r="A3956" s="8" t="str">
        <f t="shared" si="69"/>
        <v>250018</v>
      </c>
      <c r="B3956" s="8" t="str">
        <f>"2561404012427"</f>
        <v>2561404012427</v>
      </c>
      <c r="C3956" s="8" t="s">
        <v>10</v>
      </c>
      <c r="D3956" s="9">
        <v>0</v>
      </c>
      <c r="E3956" s="8">
        <v>318</v>
      </c>
    </row>
    <row r="3957" s="3" customFormat="1" ht="18.75" spans="1:5">
      <c r="A3957" s="8" t="str">
        <f t="shared" si="69"/>
        <v>250018</v>
      </c>
      <c r="B3957" s="8" t="str">
        <f>"2561404012429"</f>
        <v>2561404012429</v>
      </c>
      <c r="C3957" s="8" t="s">
        <v>10</v>
      </c>
      <c r="D3957" s="9">
        <v>0</v>
      </c>
      <c r="E3957" s="8">
        <v>318</v>
      </c>
    </row>
    <row r="3958" s="3" customFormat="1" ht="18.75" spans="1:5">
      <c r="A3958" s="8" t="str">
        <f t="shared" si="69"/>
        <v>250018</v>
      </c>
      <c r="B3958" s="8" t="str">
        <f>"2561404012430"</f>
        <v>2561404012430</v>
      </c>
      <c r="C3958" s="8" t="s">
        <v>10</v>
      </c>
      <c r="D3958" s="9">
        <v>0</v>
      </c>
      <c r="E3958" s="8">
        <v>318</v>
      </c>
    </row>
    <row r="3959" s="3" customFormat="1" ht="18.75" spans="1:5">
      <c r="A3959" s="8" t="str">
        <f t="shared" si="69"/>
        <v>250018</v>
      </c>
      <c r="B3959" s="8" t="str">
        <f>"2561404012501"</f>
        <v>2561404012501</v>
      </c>
      <c r="C3959" s="8" t="s">
        <v>10</v>
      </c>
      <c r="D3959" s="9">
        <v>0</v>
      </c>
      <c r="E3959" s="8">
        <v>318</v>
      </c>
    </row>
    <row r="3960" s="3" customFormat="1" ht="18.75" spans="1:5">
      <c r="A3960" s="8" t="str">
        <f t="shared" si="69"/>
        <v>250018</v>
      </c>
      <c r="B3960" s="8" t="str">
        <f>"2561404012503"</f>
        <v>2561404012503</v>
      </c>
      <c r="C3960" s="8" t="s">
        <v>10</v>
      </c>
      <c r="D3960" s="9">
        <v>0</v>
      </c>
      <c r="E3960" s="8">
        <v>318</v>
      </c>
    </row>
    <row r="3961" s="3" customFormat="1" ht="18.75" spans="1:5">
      <c r="A3961" s="8" t="str">
        <f t="shared" si="69"/>
        <v>250018</v>
      </c>
      <c r="B3961" s="8" t="str">
        <f>"2561404012504"</f>
        <v>2561404012504</v>
      </c>
      <c r="C3961" s="8" t="s">
        <v>10</v>
      </c>
      <c r="D3961" s="9">
        <v>0</v>
      </c>
      <c r="E3961" s="8">
        <v>318</v>
      </c>
    </row>
    <row r="3962" s="3" customFormat="1" ht="18.75" spans="1:5">
      <c r="A3962" s="8" t="str">
        <f t="shared" si="69"/>
        <v>250018</v>
      </c>
      <c r="B3962" s="8" t="str">
        <f>"2561404012505"</f>
        <v>2561404012505</v>
      </c>
      <c r="C3962" s="8" t="s">
        <v>10</v>
      </c>
      <c r="D3962" s="9">
        <v>0</v>
      </c>
      <c r="E3962" s="8">
        <v>318</v>
      </c>
    </row>
    <row r="3963" s="3" customFormat="1" ht="18.75" spans="1:5">
      <c r="A3963" s="8" t="str">
        <f t="shared" si="69"/>
        <v>250018</v>
      </c>
      <c r="B3963" s="8" t="str">
        <f>"2561404012506"</f>
        <v>2561404012506</v>
      </c>
      <c r="C3963" s="8" t="s">
        <v>10</v>
      </c>
      <c r="D3963" s="9">
        <v>0</v>
      </c>
      <c r="E3963" s="8">
        <v>318</v>
      </c>
    </row>
    <row r="3964" s="3" customFormat="1" ht="18.75" spans="1:5">
      <c r="A3964" s="8" t="str">
        <f t="shared" si="69"/>
        <v>250018</v>
      </c>
      <c r="B3964" s="8" t="str">
        <f>"2561404012507"</f>
        <v>2561404012507</v>
      </c>
      <c r="C3964" s="8" t="s">
        <v>10</v>
      </c>
      <c r="D3964" s="9">
        <v>0</v>
      </c>
      <c r="E3964" s="8">
        <v>318</v>
      </c>
    </row>
    <row r="3965" s="3" customFormat="1" ht="18.75" spans="1:5">
      <c r="A3965" s="8" t="str">
        <f t="shared" si="69"/>
        <v>250018</v>
      </c>
      <c r="B3965" s="8" t="str">
        <f>"2561404012508"</f>
        <v>2561404012508</v>
      </c>
      <c r="C3965" s="8" t="s">
        <v>10</v>
      </c>
      <c r="D3965" s="9">
        <v>0</v>
      </c>
      <c r="E3965" s="8">
        <v>318</v>
      </c>
    </row>
    <row r="3966" s="3" customFormat="1" ht="18.75" spans="1:5">
      <c r="A3966" s="8" t="str">
        <f t="shared" si="69"/>
        <v>250018</v>
      </c>
      <c r="B3966" s="8" t="str">
        <f>"2561404012510"</f>
        <v>2561404012510</v>
      </c>
      <c r="C3966" s="8" t="s">
        <v>10</v>
      </c>
      <c r="D3966" s="9">
        <v>0</v>
      </c>
      <c r="E3966" s="8">
        <v>318</v>
      </c>
    </row>
    <row r="3967" s="3" customFormat="1" ht="18.75" spans="1:5">
      <c r="A3967" s="8" t="str">
        <f t="shared" si="69"/>
        <v>250018</v>
      </c>
      <c r="B3967" s="8" t="str">
        <f>"2561404012512"</f>
        <v>2561404012512</v>
      </c>
      <c r="C3967" s="8" t="s">
        <v>10</v>
      </c>
      <c r="D3967" s="9">
        <v>0</v>
      </c>
      <c r="E3967" s="8">
        <v>318</v>
      </c>
    </row>
    <row r="3968" s="3" customFormat="1" ht="18.75" spans="1:5">
      <c r="A3968" s="8" t="str">
        <f t="shared" si="69"/>
        <v>250018</v>
      </c>
      <c r="B3968" s="8" t="str">
        <f>"2561404012513"</f>
        <v>2561404012513</v>
      </c>
      <c r="C3968" s="8" t="s">
        <v>10</v>
      </c>
      <c r="D3968" s="9">
        <v>0</v>
      </c>
      <c r="E3968" s="8">
        <v>318</v>
      </c>
    </row>
    <row r="3969" s="3" customFormat="1" ht="18.75" spans="1:5">
      <c r="A3969" s="8" t="str">
        <f t="shared" si="69"/>
        <v>250018</v>
      </c>
      <c r="B3969" s="8" t="str">
        <f>"2561404012514"</f>
        <v>2561404012514</v>
      </c>
      <c r="C3969" s="8" t="s">
        <v>10</v>
      </c>
      <c r="D3969" s="9">
        <v>0</v>
      </c>
      <c r="E3969" s="8">
        <v>318</v>
      </c>
    </row>
    <row r="3970" s="3" customFormat="1" ht="18.75" spans="1:5">
      <c r="A3970" s="8" t="str">
        <f t="shared" si="69"/>
        <v>250018</v>
      </c>
      <c r="B3970" s="8" t="str">
        <f>"2561404012515"</f>
        <v>2561404012515</v>
      </c>
      <c r="C3970" s="8" t="s">
        <v>10</v>
      </c>
      <c r="D3970" s="9">
        <v>0</v>
      </c>
      <c r="E3970" s="8">
        <v>318</v>
      </c>
    </row>
    <row r="3971" s="3" customFormat="1" ht="18.75" spans="1:5">
      <c r="A3971" s="8" t="str">
        <f t="shared" si="69"/>
        <v>250018</v>
      </c>
      <c r="B3971" s="8" t="str">
        <f>"2561404012518"</f>
        <v>2561404012518</v>
      </c>
      <c r="C3971" s="8" t="s">
        <v>10</v>
      </c>
      <c r="D3971" s="9">
        <v>0</v>
      </c>
      <c r="E3971" s="8">
        <v>318</v>
      </c>
    </row>
    <row r="3972" s="3" customFormat="1" ht="18.75" spans="1:5">
      <c r="A3972" s="8" t="str">
        <f t="shared" si="69"/>
        <v>250018</v>
      </c>
      <c r="B3972" s="8" t="str">
        <f>"2561404012521"</f>
        <v>2561404012521</v>
      </c>
      <c r="C3972" s="8" t="s">
        <v>10</v>
      </c>
      <c r="D3972" s="9">
        <v>0</v>
      </c>
      <c r="E3972" s="8">
        <v>318</v>
      </c>
    </row>
    <row r="3973" s="3" customFormat="1" ht="18.75" spans="1:5">
      <c r="A3973" s="8" t="str">
        <f t="shared" si="69"/>
        <v>250018</v>
      </c>
      <c r="B3973" s="8" t="str">
        <f>"2561404012522"</f>
        <v>2561404012522</v>
      </c>
      <c r="C3973" s="8" t="s">
        <v>10</v>
      </c>
      <c r="D3973" s="9">
        <v>0</v>
      </c>
      <c r="E3973" s="8">
        <v>318</v>
      </c>
    </row>
    <row r="3974" s="3" customFormat="1" ht="18.75" spans="1:5">
      <c r="A3974" s="8" t="str">
        <f t="shared" si="69"/>
        <v>250018</v>
      </c>
      <c r="B3974" s="8" t="str">
        <f>"2561404012523"</f>
        <v>2561404012523</v>
      </c>
      <c r="C3974" s="8" t="s">
        <v>10</v>
      </c>
      <c r="D3974" s="9">
        <v>0</v>
      </c>
      <c r="E3974" s="8">
        <v>318</v>
      </c>
    </row>
    <row r="3975" s="3" customFormat="1" ht="18.75" spans="1:5">
      <c r="A3975" s="8" t="str">
        <f t="shared" si="69"/>
        <v>250018</v>
      </c>
      <c r="B3975" s="8" t="str">
        <f>"2561404012527"</f>
        <v>2561404012527</v>
      </c>
      <c r="C3975" s="8" t="s">
        <v>10</v>
      </c>
      <c r="D3975" s="9">
        <v>0</v>
      </c>
      <c r="E3975" s="8">
        <v>318</v>
      </c>
    </row>
    <row r="3976" s="3" customFormat="1" ht="18.75" spans="1:5">
      <c r="A3976" s="8" t="str">
        <f t="shared" si="69"/>
        <v>250018</v>
      </c>
      <c r="B3976" s="8" t="str">
        <f>"2561404012529"</f>
        <v>2561404012529</v>
      </c>
      <c r="C3976" s="8" t="s">
        <v>10</v>
      </c>
      <c r="D3976" s="9">
        <v>0</v>
      </c>
      <c r="E3976" s="8">
        <v>318</v>
      </c>
    </row>
    <row r="3977" s="3" customFormat="1" ht="18.75" spans="1:5">
      <c r="A3977" s="8" t="str">
        <f t="shared" si="69"/>
        <v>250018</v>
      </c>
      <c r="B3977" s="8" t="str">
        <f>"2561404012601"</f>
        <v>2561404012601</v>
      </c>
      <c r="C3977" s="8" t="s">
        <v>10</v>
      </c>
      <c r="D3977" s="9">
        <v>0</v>
      </c>
      <c r="E3977" s="8">
        <v>318</v>
      </c>
    </row>
    <row r="3978" s="3" customFormat="1" ht="18.75" spans="1:5">
      <c r="A3978" s="8" t="str">
        <f t="shared" si="69"/>
        <v>250018</v>
      </c>
      <c r="B3978" s="8" t="str">
        <f>"2561404012602"</f>
        <v>2561404012602</v>
      </c>
      <c r="C3978" s="8" t="s">
        <v>10</v>
      </c>
      <c r="D3978" s="9">
        <v>0</v>
      </c>
      <c r="E3978" s="8">
        <v>318</v>
      </c>
    </row>
    <row r="3979" s="3" customFormat="1" ht="18.75" spans="1:5">
      <c r="A3979" s="8" t="str">
        <f t="shared" si="69"/>
        <v>250018</v>
      </c>
      <c r="B3979" s="8" t="str">
        <f>"2561404012604"</f>
        <v>2561404012604</v>
      </c>
      <c r="C3979" s="8" t="s">
        <v>10</v>
      </c>
      <c r="D3979" s="9">
        <v>0</v>
      </c>
      <c r="E3979" s="8">
        <v>318</v>
      </c>
    </row>
    <row r="3980" s="3" customFormat="1" ht="18.75" spans="1:5">
      <c r="A3980" s="8" t="str">
        <f t="shared" si="69"/>
        <v>250018</v>
      </c>
      <c r="B3980" s="8" t="str">
        <f>"2561404012605"</f>
        <v>2561404012605</v>
      </c>
      <c r="C3980" s="8" t="s">
        <v>10</v>
      </c>
      <c r="D3980" s="9">
        <v>0</v>
      </c>
      <c r="E3980" s="8">
        <v>318</v>
      </c>
    </row>
    <row r="3981" s="3" customFormat="1" ht="18.75" spans="1:5">
      <c r="A3981" s="8" t="str">
        <f t="shared" si="69"/>
        <v>250018</v>
      </c>
      <c r="B3981" s="8" t="str">
        <f>"2561404012606"</f>
        <v>2561404012606</v>
      </c>
      <c r="C3981" s="8" t="s">
        <v>10</v>
      </c>
      <c r="D3981" s="9">
        <v>0</v>
      </c>
      <c r="E3981" s="8">
        <v>318</v>
      </c>
    </row>
    <row r="3982" s="3" customFormat="1" ht="18.75" spans="1:5">
      <c r="A3982" s="8" t="str">
        <f t="shared" si="69"/>
        <v>250018</v>
      </c>
      <c r="B3982" s="8" t="str">
        <f>"2561404012607"</f>
        <v>2561404012607</v>
      </c>
      <c r="C3982" s="8" t="s">
        <v>10</v>
      </c>
      <c r="D3982" s="9">
        <v>0</v>
      </c>
      <c r="E3982" s="8">
        <v>318</v>
      </c>
    </row>
    <row r="3983" s="3" customFormat="1" ht="18.75" spans="1:5">
      <c r="A3983" s="8" t="str">
        <f t="shared" si="69"/>
        <v>250018</v>
      </c>
      <c r="B3983" s="8" t="str">
        <f>"2561404012608"</f>
        <v>2561404012608</v>
      </c>
      <c r="C3983" s="8" t="s">
        <v>10</v>
      </c>
      <c r="D3983" s="9">
        <v>0</v>
      </c>
      <c r="E3983" s="8">
        <v>318</v>
      </c>
    </row>
    <row r="3984" s="3" customFormat="1" ht="18.75" spans="1:5">
      <c r="A3984" s="8" t="str">
        <f t="shared" si="69"/>
        <v>250018</v>
      </c>
      <c r="B3984" s="8" t="str">
        <f>"2561404012611"</f>
        <v>2561404012611</v>
      </c>
      <c r="C3984" s="8" t="s">
        <v>10</v>
      </c>
      <c r="D3984" s="9">
        <v>0</v>
      </c>
      <c r="E3984" s="8">
        <v>318</v>
      </c>
    </row>
    <row r="3985" s="3" customFormat="1" ht="18.75" spans="1:5">
      <c r="A3985" s="8" t="str">
        <f t="shared" si="69"/>
        <v>250018</v>
      </c>
      <c r="B3985" s="8" t="str">
        <f>"2561404012613"</f>
        <v>2561404012613</v>
      </c>
      <c r="C3985" s="8" t="s">
        <v>10</v>
      </c>
      <c r="D3985" s="9">
        <v>0</v>
      </c>
      <c r="E3985" s="8">
        <v>318</v>
      </c>
    </row>
    <row r="3986" s="3" customFormat="1" ht="18.75" spans="1:5">
      <c r="A3986" s="8" t="str">
        <f t="shared" si="69"/>
        <v>250018</v>
      </c>
      <c r="B3986" s="8" t="str">
        <f>"2561404012614"</f>
        <v>2561404012614</v>
      </c>
      <c r="C3986" s="8" t="s">
        <v>10</v>
      </c>
      <c r="D3986" s="9">
        <v>0</v>
      </c>
      <c r="E3986" s="8">
        <v>318</v>
      </c>
    </row>
    <row r="3987" s="3" customFormat="1" ht="18.75" spans="1:5">
      <c r="A3987" s="8" t="str">
        <f t="shared" si="69"/>
        <v>250018</v>
      </c>
      <c r="B3987" s="8" t="str">
        <f>"2561404012618"</f>
        <v>2561404012618</v>
      </c>
      <c r="C3987" s="8" t="s">
        <v>10</v>
      </c>
      <c r="D3987" s="9">
        <v>0</v>
      </c>
      <c r="E3987" s="8">
        <v>318</v>
      </c>
    </row>
    <row r="3988" s="3" customFormat="1" ht="18.75" spans="1:5">
      <c r="A3988" s="8" t="str">
        <f t="shared" si="69"/>
        <v>250018</v>
      </c>
      <c r="B3988" s="8" t="str">
        <f>"2561404012619"</f>
        <v>2561404012619</v>
      </c>
      <c r="C3988" s="8" t="s">
        <v>10</v>
      </c>
      <c r="D3988" s="9">
        <v>0</v>
      </c>
      <c r="E3988" s="8">
        <v>318</v>
      </c>
    </row>
    <row r="3989" s="3" customFormat="1" ht="18.75" spans="1:5">
      <c r="A3989" s="8" t="str">
        <f t="shared" si="69"/>
        <v>250018</v>
      </c>
      <c r="B3989" s="8" t="str">
        <f>"2561404012622"</f>
        <v>2561404012622</v>
      </c>
      <c r="C3989" s="8" t="s">
        <v>10</v>
      </c>
      <c r="D3989" s="9">
        <v>0</v>
      </c>
      <c r="E3989" s="8">
        <v>318</v>
      </c>
    </row>
    <row r="3990" s="3" customFormat="1" ht="18.75" spans="1:5">
      <c r="A3990" s="8" t="str">
        <f t="shared" si="69"/>
        <v>250018</v>
      </c>
      <c r="B3990" s="8" t="str">
        <f>"2561404012623"</f>
        <v>2561404012623</v>
      </c>
      <c r="C3990" s="8" t="s">
        <v>10</v>
      </c>
      <c r="D3990" s="9">
        <v>0</v>
      </c>
      <c r="E3990" s="8">
        <v>318</v>
      </c>
    </row>
    <row r="3991" s="3" customFormat="1" ht="18.75" spans="1:5">
      <c r="A3991" s="8" t="str">
        <f t="shared" si="69"/>
        <v>250018</v>
      </c>
      <c r="B3991" s="8" t="str">
        <f>"2561404012625"</f>
        <v>2561404012625</v>
      </c>
      <c r="C3991" s="8" t="s">
        <v>10</v>
      </c>
      <c r="D3991" s="9">
        <v>0</v>
      </c>
      <c r="E3991" s="8">
        <v>318</v>
      </c>
    </row>
    <row r="3992" s="3" customFormat="1" ht="18.75" spans="1:5">
      <c r="A3992" s="8" t="str">
        <f t="shared" si="69"/>
        <v>250018</v>
      </c>
      <c r="B3992" s="8" t="str">
        <f>"2561404012627"</f>
        <v>2561404012627</v>
      </c>
      <c r="C3992" s="8" t="s">
        <v>10</v>
      </c>
      <c r="D3992" s="9">
        <v>0</v>
      </c>
      <c r="E3992" s="8">
        <v>318</v>
      </c>
    </row>
    <row r="3993" s="3" customFormat="1" ht="18.75" spans="1:5">
      <c r="A3993" s="8" t="str">
        <f t="shared" si="69"/>
        <v>250018</v>
      </c>
      <c r="B3993" s="8" t="str">
        <f>"2561404012628"</f>
        <v>2561404012628</v>
      </c>
      <c r="C3993" s="8" t="s">
        <v>10</v>
      </c>
      <c r="D3993" s="9">
        <v>0</v>
      </c>
      <c r="E3993" s="8">
        <v>318</v>
      </c>
    </row>
    <row r="3994" s="3" customFormat="1" ht="18.75" spans="1:5">
      <c r="A3994" s="8" t="str">
        <f t="shared" si="69"/>
        <v>250018</v>
      </c>
      <c r="B3994" s="8" t="str">
        <f>"2561404012629"</f>
        <v>2561404012629</v>
      </c>
      <c r="C3994" s="8" t="s">
        <v>10</v>
      </c>
      <c r="D3994" s="9">
        <v>0</v>
      </c>
      <c r="E3994" s="8">
        <v>318</v>
      </c>
    </row>
    <row r="3995" s="3" customFormat="1" ht="18.75" spans="1:5">
      <c r="A3995" s="8" t="str">
        <f t="shared" si="69"/>
        <v>250018</v>
      </c>
      <c r="B3995" s="8" t="str">
        <f>"2561404012701"</f>
        <v>2561404012701</v>
      </c>
      <c r="C3995" s="8" t="s">
        <v>10</v>
      </c>
      <c r="D3995" s="9">
        <v>0</v>
      </c>
      <c r="E3995" s="8">
        <v>318</v>
      </c>
    </row>
    <row r="3996" s="3" customFormat="1" ht="18.75" spans="1:5">
      <c r="A3996" s="8" t="str">
        <f t="shared" si="69"/>
        <v>250018</v>
      </c>
      <c r="B3996" s="8" t="str">
        <f>"2561404012705"</f>
        <v>2561404012705</v>
      </c>
      <c r="C3996" s="8" t="s">
        <v>10</v>
      </c>
      <c r="D3996" s="9">
        <v>0</v>
      </c>
      <c r="E3996" s="8">
        <v>318</v>
      </c>
    </row>
    <row r="3997" s="3" customFormat="1" ht="18.75" spans="1:5">
      <c r="A3997" s="8" t="str">
        <f t="shared" si="69"/>
        <v>250018</v>
      </c>
      <c r="B3997" s="8" t="str">
        <f>"2561404012707"</f>
        <v>2561404012707</v>
      </c>
      <c r="C3997" s="8" t="s">
        <v>10</v>
      </c>
      <c r="D3997" s="9">
        <v>0</v>
      </c>
      <c r="E3997" s="8">
        <v>318</v>
      </c>
    </row>
    <row r="3998" s="3" customFormat="1" ht="18.75" spans="1:5">
      <c r="A3998" s="8" t="str">
        <f t="shared" si="69"/>
        <v>250018</v>
      </c>
      <c r="B3998" s="8" t="str">
        <f>"2561404012708"</f>
        <v>2561404012708</v>
      </c>
      <c r="C3998" s="8" t="s">
        <v>10</v>
      </c>
      <c r="D3998" s="9">
        <v>0</v>
      </c>
      <c r="E3998" s="8">
        <v>318</v>
      </c>
    </row>
    <row r="3999" s="3" customFormat="1" ht="18.75" spans="1:5">
      <c r="A3999" s="8" t="str">
        <f t="shared" si="69"/>
        <v>250018</v>
      </c>
      <c r="B3999" s="8" t="str">
        <f>"2561404012709"</f>
        <v>2561404012709</v>
      </c>
      <c r="C3999" s="8" t="s">
        <v>10</v>
      </c>
      <c r="D3999" s="9">
        <v>0</v>
      </c>
      <c r="E3999" s="8">
        <v>318</v>
      </c>
    </row>
    <row r="4000" s="3" customFormat="1" ht="18.75" spans="1:5">
      <c r="A4000" s="8" t="str">
        <f t="shared" si="69"/>
        <v>250018</v>
      </c>
      <c r="B4000" s="8" t="str">
        <f>"2561404012710"</f>
        <v>2561404012710</v>
      </c>
      <c r="C4000" s="8" t="s">
        <v>10</v>
      </c>
      <c r="D4000" s="9">
        <v>0</v>
      </c>
      <c r="E4000" s="8">
        <v>318</v>
      </c>
    </row>
    <row r="4001" s="3" customFormat="1" ht="18.75" spans="1:5">
      <c r="A4001" s="8" t="str">
        <f t="shared" si="69"/>
        <v>250018</v>
      </c>
      <c r="B4001" s="8" t="str">
        <f>"2561404012711"</f>
        <v>2561404012711</v>
      </c>
      <c r="C4001" s="8" t="s">
        <v>10</v>
      </c>
      <c r="D4001" s="9">
        <v>0</v>
      </c>
      <c r="E4001" s="8">
        <v>318</v>
      </c>
    </row>
    <row r="4002" s="3" customFormat="1" ht="18.75" spans="1:5">
      <c r="A4002" s="8" t="str">
        <f t="shared" si="69"/>
        <v>250018</v>
      </c>
      <c r="B4002" s="8" t="str">
        <f>"2561404012713"</f>
        <v>2561404012713</v>
      </c>
      <c r="C4002" s="8" t="s">
        <v>10</v>
      </c>
      <c r="D4002" s="9">
        <v>0</v>
      </c>
      <c r="E4002" s="8">
        <v>318</v>
      </c>
    </row>
    <row r="4003" s="3" customFormat="1" ht="18.75" spans="1:5">
      <c r="A4003" s="8" t="str">
        <f t="shared" si="69"/>
        <v>250018</v>
      </c>
      <c r="B4003" s="8" t="str">
        <f>"2561404012714"</f>
        <v>2561404012714</v>
      </c>
      <c r="C4003" s="8" t="s">
        <v>10</v>
      </c>
      <c r="D4003" s="9">
        <v>0</v>
      </c>
      <c r="E4003" s="8">
        <v>318</v>
      </c>
    </row>
    <row r="4004" s="3" customFormat="1" ht="18.75" spans="1:5">
      <c r="A4004" s="8" t="str">
        <f t="shared" si="69"/>
        <v>250018</v>
      </c>
      <c r="B4004" s="8" t="str">
        <f>"2561404012715"</f>
        <v>2561404012715</v>
      </c>
      <c r="C4004" s="8" t="s">
        <v>10</v>
      </c>
      <c r="D4004" s="9">
        <v>0</v>
      </c>
      <c r="E4004" s="8">
        <v>318</v>
      </c>
    </row>
    <row r="4005" s="3" customFormat="1" ht="18.75" spans="1:5">
      <c r="A4005" s="8" t="str">
        <f t="shared" si="69"/>
        <v>250018</v>
      </c>
      <c r="B4005" s="8" t="str">
        <f>"2561404012716"</f>
        <v>2561404012716</v>
      </c>
      <c r="C4005" s="8" t="s">
        <v>10</v>
      </c>
      <c r="D4005" s="9">
        <v>0</v>
      </c>
      <c r="E4005" s="8">
        <v>318</v>
      </c>
    </row>
    <row r="4006" s="3" customFormat="1" ht="18.75" spans="1:5">
      <c r="A4006" s="8" t="str">
        <f t="shared" si="69"/>
        <v>250018</v>
      </c>
      <c r="B4006" s="8" t="str">
        <f>"2561404012718"</f>
        <v>2561404012718</v>
      </c>
      <c r="C4006" s="8" t="s">
        <v>10</v>
      </c>
      <c r="D4006" s="9">
        <v>0</v>
      </c>
      <c r="E4006" s="8">
        <v>318</v>
      </c>
    </row>
    <row r="4007" s="3" customFormat="1" ht="18.75" spans="1:5">
      <c r="A4007" s="8" t="str">
        <f t="shared" si="69"/>
        <v>250018</v>
      </c>
      <c r="B4007" s="8" t="str">
        <f>"2561404012721"</f>
        <v>2561404012721</v>
      </c>
      <c r="C4007" s="8" t="s">
        <v>10</v>
      </c>
      <c r="D4007" s="9">
        <v>0</v>
      </c>
      <c r="E4007" s="8">
        <v>318</v>
      </c>
    </row>
    <row r="4008" s="3" customFormat="1" ht="18.75" spans="1:5">
      <c r="A4008" s="8" t="str">
        <f t="shared" ref="A4008:A4071" si="70">"250018"</f>
        <v>250018</v>
      </c>
      <c r="B4008" s="8" t="str">
        <f>"2561404012722"</f>
        <v>2561404012722</v>
      </c>
      <c r="C4008" s="8" t="s">
        <v>10</v>
      </c>
      <c r="D4008" s="9">
        <v>0</v>
      </c>
      <c r="E4008" s="8">
        <v>318</v>
      </c>
    </row>
    <row r="4009" s="3" customFormat="1" ht="18.75" spans="1:5">
      <c r="A4009" s="8" t="str">
        <f t="shared" si="70"/>
        <v>250018</v>
      </c>
      <c r="B4009" s="8" t="str">
        <f>"2561404012723"</f>
        <v>2561404012723</v>
      </c>
      <c r="C4009" s="8" t="s">
        <v>10</v>
      </c>
      <c r="D4009" s="9">
        <v>0</v>
      </c>
      <c r="E4009" s="8">
        <v>318</v>
      </c>
    </row>
    <row r="4010" s="3" customFormat="1" ht="18.75" spans="1:5">
      <c r="A4010" s="8" t="str">
        <f t="shared" si="70"/>
        <v>250018</v>
      </c>
      <c r="B4010" s="8" t="str">
        <f>"2561404012724"</f>
        <v>2561404012724</v>
      </c>
      <c r="C4010" s="8" t="s">
        <v>10</v>
      </c>
      <c r="D4010" s="9">
        <v>0</v>
      </c>
      <c r="E4010" s="8">
        <v>318</v>
      </c>
    </row>
    <row r="4011" s="3" customFormat="1" ht="18.75" spans="1:5">
      <c r="A4011" s="8" t="str">
        <f t="shared" si="70"/>
        <v>250018</v>
      </c>
      <c r="B4011" s="8" t="str">
        <f>"2561404012728"</f>
        <v>2561404012728</v>
      </c>
      <c r="C4011" s="8" t="s">
        <v>10</v>
      </c>
      <c r="D4011" s="9">
        <v>0</v>
      </c>
      <c r="E4011" s="8">
        <v>318</v>
      </c>
    </row>
    <row r="4012" s="3" customFormat="1" ht="18.75" spans="1:5">
      <c r="A4012" s="8" t="str">
        <f t="shared" si="70"/>
        <v>250018</v>
      </c>
      <c r="B4012" s="8" t="str">
        <f>"2561404012729"</f>
        <v>2561404012729</v>
      </c>
      <c r="C4012" s="8" t="s">
        <v>10</v>
      </c>
      <c r="D4012" s="9">
        <v>0</v>
      </c>
      <c r="E4012" s="8">
        <v>318</v>
      </c>
    </row>
    <row r="4013" s="3" customFormat="1" ht="18.75" spans="1:5">
      <c r="A4013" s="8" t="str">
        <f t="shared" si="70"/>
        <v>250018</v>
      </c>
      <c r="B4013" s="8" t="str">
        <f>"2561404012803"</f>
        <v>2561404012803</v>
      </c>
      <c r="C4013" s="8" t="s">
        <v>10</v>
      </c>
      <c r="D4013" s="9">
        <v>0</v>
      </c>
      <c r="E4013" s="8">
        <v>318</v>
      </c>
    </row>
    <row r="4014" s="3" customFormat="1" ht="18.75" spans="1:5">
      <c r="A4014" s="8" t="str">
        <f t="shared" si="70"/>
        <v>250018</v>
      </c>
      <c r="B4014" s="8" t="str">
        <f>"2561404012804"</f>
        <v>2561404012804</v>
      </c>
      <c r="C4014" s="8" t="s">
        <v>10</v>
      </c>
      <c r="D4014" s="9">
        <v>0</v>
      </c>
      <c r="E4014" s="8">
        <v>318</v>
      </c>
    </row>
    <row r="4015" s="3" customFormat="1" ht="18.75" spans="1:5">
      <c r="A4015" s="8" t="str">
        <f t="shared" si="70"/>
        <v>250018</v>
      </c>
      <c r="B4015" s="8" t="str">
        <f>"2561404012805"</f>
        <v>2561404012805</v>
      </c>
      <c r="C4015" s="8" t="s">
        <v>10</v>
      </c>
      <c r="D4015" s="9">
        <v>0</v>
      </c>
      <c r="E4015" s="8">
        <v>318</v>
      </c>
    </row>
    <row r="4016" s="3" customFormat="1" ht="18.75" spans="1:5">
      <c r="A4016" s="8" t="str">
        <f t="shared" si="70"/>
        <v>250018</v>
      </c>
      <c r="B4016" s="8" t="str">
        <f>"2561404012807"</f>
        <v>2561404012807</v>
      </c>
      <c r="C4016" s="8" t="s">
        <v>10</v>
      </c>
      <c r="D4016" s="9">
        <v>0</v>
      </c>
      <c r="E4016" s="8">
        <v>318</v>
      </c>
    </row>
    <row r="4017" s="3" customFormat="1" ht="18.75" spans="1:5">
      <c r="A4017" s="8" t="str">
        <f t="shared" si="70"/>
        <v>250018</v>
      </c>
      <c r="B4017" s="8" t="str">
        <f>"2561404012808"</f>
        <v>2561404012808</v>
      </c>
      <c r="C4017" s="8" t="s">
        <v>10</v>
      </c>
      <c r="D4017" s="9">
        <v>0</v>
      </c>
      <c r="E4017" s="8">
        <v>318</v>
      </c>
    </row>
    <row r="4018" s="3" customFormat="1" ht="18.75" spans="1:5">
      <c r="A4018" s="8" t="str">
        <f t="shared" si="70"/>
        <v>250018</v>
      </c>
      <c r="B4018" s="8" t="str">
        <f>"2561404012809"</f>
        <v>2561404012809</v>
      </c>
      <c r="C4018" s="8" t="s">
        <v>10</v>
      </c>
      <c r="D4018" s="9">
        <v>0</v>
      </c>
      <c r="E4018" s="8">
        <v>318</v>
      </c>
    </row>
    <row r="4019" s="3" customFormat="1" ht="18.75" spans="1:5">
      <c r="A4019" s="8" t="str">
        <f t="shared" si="70"/>
        <v>250018</v>
      </c>
      <c r="B4019" s="8" t="str">
        <f>"2561404012812"</f>
        <v>2561404012812</v>
      </c>
      <c r="C4019" s="8" t="s">
        <v>10</v>
      </c>
      <c r="D4019" s="9">
        <v>0</v>
      </c>
      <c r="E4019" s="8">
        <v>318</v>
      </c>
    </row>
    <row r="4020" s="3" customFormat="1" ht="18.75" spans="1:5">
      <c r="A4020" s="8" t="str">
        <f t="shared" si="70"/>
        <v>250018</v>
      </c>
      <c r="B4020" s="8" t="str">
        <f>"2561404012813"</f>
        <v>2561404012813</v>
      </c>
      <c r="C4020" s="8" t="s">
        <v>10</v>
      </c>
      <c r="D4020" s="9">
        <v>0</v>
      </c>
      <c r="E4020" s="8">
        <v>318</v>
      </c>
    </row>
    <row r="4021" s="3" customFormat="1" ht="18.75" spans="1:5">
      <c r="A4021" s="8" t="str">
        <f t="shared" si="70"/>
        <v>250018</v>
      </c>
      <c r="B4021" s="8" t="str">
        <f>"2561404012814"</f>
        <v>2561404012814</v>
      </c>
      <c r="C4021" s="8" t="s">
        <v>10</v>
      </c>
      <c r="D4021" s="9">
        <v>0</v>
      </c>
      <c r="E4021" s="8">
        <v>318</v>
      </c>
    </row>
    <row r="4022" s="3" customFormat="1" ht="18.75" spans="1:5">
      <c r="A4022" s="8" t="str">
        <f t="shared" si="70"/>
        <v>250018</v>
      </c>
      <c r="B4022" s="8" t="str">
        <f>"2561404012816"</f>
        <v>2561404012816</v>
      </c>
      <c r="C4022" s="8" t="s">
        <v>10</v>
      </c>
      <c r="D4022" s="9">
        <v>0</v>
      </c>
      <c r="E4022" s="8">
        <v>318</v>
      </c>
    </row>
    <row r="4023" s="3" customFormat="1" ht="18.75" spans="1:5">
      <c r="A4023" s="8" t="str">
        <f t="shared" si="70"/>
        <v>250018</v>
      </c>
      <c r="B4023" s="8" t="str">
        <f>"2561404012817"</f>
        <v>2561404012817</v>
      </c>
      <c r="C4023" s="8" t="s">
        <v>10</v>
      </c>
      <c r="D4023" s="9">
        <v>0</v>
      </c>
      <c r="E4023" s="8">
        <v>318</v>
      </c>
    </row>
    <row r="4024" s="3" customFormat="1" ht="18.75" spans="1:5">
      <c r="A4024" s="8" t="str">
        <f t="shared" si="70"/>
        <v>250018</v>
      </c>
      <c r="B4024" s="8" t="str">
        <f>"2561404012819"</f>
        <v>2561404012819</v>
      </c>
      <c r="C4024" s="8" t="s">
        <v>10</v>
      </c>
      <c r="D4024" s="9">
        <v>0</v>
      </c>
      <c r="E4024" s="8">
        <v>318</v>
      </c>
    </row>
    <row r="4025" s="3" customFormat="1" ht="18.75" spans="1:5">
      <c r="A4025" s="8" t="str">
        <f t="shared" si="70"/>
        <v>250018</v>
      </c>
      <c r="B4025" s="8" t="str">
        <f>"2561404012820"</f>
        <v>2561404012820</v>
      </c>
      <c r="C4025" s="8" t="s">
        <v>10</v>
      </c>
      <c r="D4025" s="9">
        <v>0</v>
      </c>
      <c r="E4025" s="8">
        <v>318</v>
      </c>
    </row>
    <row r="4026" s="3" customFormat="1" ht="18.75" spans="1:5">
      <c r="A4026" s="8" t="str">
        <f t="shared" si="70"/>
        <v>250018</v>
      </c>
      <c r="B4026" s="8" t="str">
        <f>"2561404012822"</f>
        <v>2561404012822</v>
      </c>
      <c r="C4026" s="8" t="s">
        <v>10</v>
      </c>
      <c r="D4026" s="9">
        <v>0</v>
      </c>
      <c r="E4026" s="8">
        <v>318</v>
      </c>
    </row>
    <row r="4027" s="3" customFormat="1" ht="18.75" spans="1:5">
      <c r="A4027" s="8" t="str">
        <f t="shared" si="70"/>
        <v>250018</v>
      </c>
      <c r="B4027" s="8" t="str">
        <f>"2561404012823"</f>
        <v>2561404012823</v>
      </c>
      <c r="C4027" s="8" t="s">
        <v>10</v>
      </c>
      <c r="D4027" s="9">
        <v>0</v>
      </c>
      <c r="E4027" s="8">
        <v>318</v>
      </c>
    </row>
    <row r="4028" s="3" customFormat="1" ht="18.75" spans="1:5">
      <c r="A4028" s="8" t="str">
        <f t="shared" si="70"/>
        <v>250018</v>
      </c>
      <c r="B4028" s="8" t="str">
        <f>"2561404012824"</f>
        <v>2561404012824</v>
      </c>
      <c r="C4028" s="8" t="s">
        <v>10</v>
      </c>
      <c r="D4028" s="9">
        <v>0</v>
      </c>
      <c r="E4028" s="8">
        <v>318</v>
      </c>
    </row>
    <row r="4029" s="3" customFormat="1" ht="18.75" spans="1:5">
      <c r="A4029" s="8" t="str">
        <f t="shared" si="70"/>
        <v>250018</v>
      </c>
      <c r="B4029" s="8" t="str">
        <f>"2561404012825"</f>
        <v>2561404012825</v>
      </c>
      <c r="C4029" s="8" t="s">
        <v>10</v>
      </c>
      <c r="D4029" s="9">
        <v>0</v>
      </c>
      <c r="E4029" s="8">
        <v>318</v>
      </c>
    </row>
    <row r="4030" s="3" customFormat="1" ht="18.75" spans="1:5">
      <c r="A4030" s="8" t="str">
        <f t="shared" si="70"/>
        <v>250018</v>
      </c>
      <c r="B4030" s="8" t="str">
        <f>"2561404012827"</f>
        <v>2561404012827</v>
      </c>
      <c r="C4030" s="8" t="s">
        <v>10</v>
      </c>
      <c r="D4030" s="9">
        <v>0</v>
      </c>
      <c r="E4030" s="8">
        <v>318</v>
      </c>
    </row>
    <row r="4031" s="3" customFormat="1" ht="18.75" spans="1:5">
      <c r="A4031" s="8" t="str">
        <f t="shared" si="70"/>
        <v>250018</v>
      </c>
      <c r="B4031" s="8" t="str">
        <f>"2561404012828"</f>
        <v>2561404012828</v>
      </c>
      <c r="C4031" s="8" t="s">
        <v>10</v>
      </c>
      <c r="D4031" s="9">
        <v>0</v>
      </c>
      <c r="E4031" s="8">
        <v>318</v>
      </c>
    </row>
    <row r="4032" s="3" customFormat="1" ht="18.75" spans="1:5">
      <c r="A4032" s="8" t="str">
        <f t="shared" si="70"/>
        <v>250018</v>
      </c>
      <c r="B4032" s="8" t="str">
        <f>"2561404012829"</f>
        <v>2561404012829</v>
      </c>
      <c r="C4032" s="8" t="s">
        <v>10</v>
      </c>
      <c r="D4032" s="9">
        <v>0</v>
      </c>
      <c r="E4032" s="8">
        <v>318</v>
      </c>
    </row>
    <row r="4033" s="3" customFormat="1" ht="18.75" spans="1:5">
      <c r="A4033" s="8" t="str">
        <f t="shared" si="70"/>
        <v>250018</v>
      </c>
      <c r="B4033" s="8" t="str">
        <f>"2561404012830"</f>
        <v>2561404012830</v>
      </c>
      <c r="C4033" s="8" t="s">
        <v>10</v>
      </c>
      <c r="D4033" s="9">
        <v>0</v>
      </c>
      <c r="E4033" s="8">
        <v>318</v>
      </c>
    </row>
    <row r="4034" s="3" customFormat="1" ht="18.75" spans="1:5">
      <c r="A4034" s="8" t="str">
        <f t="shared" si="70"/>
        <v>250018</v>
      </c>
      <c r="B4034" s="8" t="str">
        <f>"2561404012901"</f>
        <v>2561404012901</v>
      </c>
      <c r="C4034" s="8" t="s">
        <v>10</v>
      </c>
      <c r="D4034" s="9">
        <v>0</v>
      </c>
      <c r="E4034" s="8">
        <v>318</v>
      </c>
    </row>
    <row r="4035" s="3" customFormat="1" ht="18.75" spans="1:5">
      <c r="A4035" s="8" t="str">
        <f t="shared" si="70"/>
        <v>250018</v>
      </c>
      <c r="B4035" s="8" t="str">
        <f>"2561404012902"</f>
        <v>2561404012902</v>
      </c>
      <c r="C4035" s="8" t="s">
        <v>10</v>
      </c>
      <c r="D4035" s="9">
        <v>0</v>
      </c>
      <c r="E4035" s="8">
        <v>318</v>
      </c>
    </row>
    <row r="4036" s="3" customFormat="1" ht="18.75" spans="1:5">
      <c r="A4036" s="8" t="str">
        <f t="shared" si="70"/>
        <v>250018</v>
      </c>
      <c r="B4036" s="8" t="str">
        <f>"2561404012903"</f>
        <v>2561404012903</v>
      </c>
      <c r="C4036" s="8" t="s">
        <v>10</v>
      </c>
      <c r="D4036" s="9">
        <v>0</v>
      </c>
      <c r="E4036" s="8">
        <v>318</v>
      </c>
    </row>
    <row r="4037" s="3" customFormat="1" ht="18.75" spans="1:5">
      <c r="A4037" s="8" t="str">
        <f t="shared" si="70"/>
        <v>250018</v>
      </c>
      <c r="B4037" s="8" t="str">
        <f>"2561404012904"</f>
        <v>2561404012904</v>
      </c>
      <c r="C4037" s="8" t="s">
        <v>10</v>
      </c>
      <c r="D4037" s="9">
        <v>0</v>
      </c>
      <c r="E4037" s="8">
        <v>318</v>
      </c>
    </row>
    <row r="4038" s="3" customFormat="1" ht="18.75" spans="1:5">
      <c r="A4038" s="8" t="str">
        <f t="shared" si="70"/>
        <v>250018</v>
      </c>
      <c r="B4038" s="8" t="str">
        <f>"2561404012905"</f>
        <v>2561404012905</v>
      </c>
      <c r="C4038" s="8" t="s">
        <v>10</v>
      </c>
      <c r="D4038" s="9">
        <v>0</v>
      </c>
      <c r="E4038" s="8">
        <v>318</v>
      </c>
    </row>
    <row r="4039" s="3" customFormat="1" ht="18.75" spans="1:5">
      <c r="A4039" s="8" t="str">
        <f t="shared" si="70"/>
        <v>250018</v>
      </c>
      <c r="B4039" s="8" t="str">
        <f>"2561404012906"</f>
        <v>2561404012906</v>
      </c>
      <c r="C4039" s="8" t="s">
        <v>10</v>
      </c>
      <c r="D4039" s="9">
        <v>0</v>
      </c>
      <c r="E4039" s="8">
        <v>318</v>
      </c>
    </row>
    <row r="4040" s="3" customFormat="1" ht="18.75" spans="1:5">
      <c r="A4040" s="8" t="str">
        <f t="shared" si="70"/>
        <v>250018</v>
      </c>
      <c r="B4040" s="8" t="str">
        <f>"2561404012907"</f>
        <v>2561404012907</v>
      </c>
      <c r="C4040" s="8" t="s">
        <v>10</v>
      </c>
      <c r="D4040" s="9">
        <v>0</v>
      </c>
      <c r="E4040" s="8">
        <v>318</v>
      </c>
    </row>
    <row r="4041" s="3" customFormat="1" ht="18.75" spans="1:5">
      <c r="A4041" s="8" t="str">
        <f t="shared" si="70"/>
        <v>250018</v>
      </c>
      <c r="B4041" s="8" t="str">
        <f>"2561404012908"</f>
        <v>2561404012908</v>
      </c>
      <c r="C4041" s="8" t="s">
        <v>10</v>
      </c>
      <c r="D4041" s="9">
        <v>0</v>
      </c>
      <c r="E4041" s="8">
        <v>318</v>
      </c>
    </row>
    <row r="4042" s="3" customFormat="1" ht="18.75" spans="1:5">
      <c r="A4042" s="8" t="str">
        <f t="shared" si="70"/>
        <v>250018</v>
      </c>
      <c r="B4042" s="8" t="str">
        <f>"2561404012909"</f>
        <v>2561404012909</v>
      </c>
      <c r="C4042" s="8" t="s">
        <v>10</v>
      </c>
      <c r="D4042" s="9">
        <v>0</v>
      </c>
      <c r="E4042" s="8">
        <v>318</v>
      </c>
    </row>
    <row r="4043" s="3" customFormat="1" ht="18.75" spans="1:5">
      <c r="A4043" s="8" t="str">
        <f t="shared" si="70"/>
        <v>250018</v>
      </c>
      <c r="B4043" s="8" t="str">
        <f>"2561404012911"</f>
        <v>2561404012911</v>
      </c>
      <c r="C4043" s="8" t="s">
        <v>10</v>
      </c>
      <c r="D4043" s="9">
        <v>0</v>
      </c>
      <c r="E4043" s="8">
        <v>318</v>
      </c>
    </row>
    <row r="4044" s="3" customFormat="1" ht="18.75" spans="1:5">
      <c r="A4044" s="8" t="str">
        <f t="shared" si="70"/>
        <v>250018</v>
      </c>
      <c r="B4044" s="8" t="str">
        <f>"2561404012914"</f>
        <v>2561404012914</v>
      </c>
      <c r="C4044" s="8" t="s">
        <v>10</v>
      </c>
      <c r="D4044" s="9">
        <v>0</v>
      </c>
      <c r="E4044" s="8">
        <v>318</v>
      </c>
    </row>
    <row r="4045" s="3" customFormat="1" ht="18.75" spans="1:5">
      <c r="A4045" s="8" t="str">
        <f t="shared" si="70"/>
        <v>250018</v>
      </c>
      <c r="B4045" s="8" t="str">
        <f>"2561404012915"</f>
        <v>2561404012915</v>
      </c>
      <c r="C4045" s="8" t="s">
        <v>10</v>
      </c>
      <c r="D4045" s="9">
        <v>0</v>
      </c>
      <c r="E4045" s="8">
        <v>318</v>
      </c>
    </row>
    <row r="4046" s="3" customFormat="1" ht="18.75" spans="1:5">
      <c r="A4046" s="8" t="str">
        <f t="shared" si="70"/>
        <v>250018</v>
      </c>
      <c r="B4046" s="8" t="str">
        <f>"2561404012916"</f>
        <v>2561404012916</v>
      </c>
      <c r="C4046" s="8" t="s">
        <v>10</v>
      </c>
      <c r="D4046" s="9">
        <v>0</v>
      </c>
      <c r="E4046" s="8">
        <v>318</v>
      </c>
    </row>
    <row r="4047" s="3" customFormat="1" ht="18.75" spans="1:5">
      <c r="A4047" s="8" t="str">
        <f t="shared" si="70"/>
        <v>250018</v>
      </c>
      <c r="B4047" s="8" t="str">
        <f>"2561404012918"</f>
        <v>2561404012918</v>
      </c>
      <c r="C4047" s="8" t="s">
        <v>10</v>
      </c>
      <c r="D4047" s="9">
        <v>0</v>
      </c>
      <c r="E4047" s="8">
        <v>318</v>
      </c>
    </row>
    <row r="4048" s="3" customFormat="1" ht="18.75" spans="1:5">
      <c r="A4048" s="8" t="str">
        <f t="shared" si="70"/>
        <v>250018</v>
      </c>
      <c r="B4048" s="8" t="str">
        <f>"2561404012919"</f>
        <v>2561404012919</v>
      </c>
      <c r="C4048" s="8" t="s">
        <v>10</v>
      </c>
      <c r="D4048" s="9">
        <v>0</v>
      </c>
      <c r="E4048" s="8">
        <v>318</v>
      </c>
    </row>
    <row r="4049" s="3" customFormat="1" ht="18.75" spans="1:5">
      <c r="A4049" s="8" t="str">
        <f t="shared" si="70"/>
        <v>250018</v>
      </c>
      <c r="B4049" s="8" t="str">
        <f>"2561404012920"</f>
        <v>2561404012920</v>
      </c>
      <c r="C4049" s="8" t="s">
        <v>10</v>
      </c>
      <c r="D4049" s="9">
        <v>0</v>
      </c>
      <c r="E4049" s="8">
        <v>318</v>
      </c>
    </row>
    <row r="4050" s="3" customFormat="1" ht="18.75" spans="1:5">
      <c r="A4050" s="8" t="str">
        <f t="shared" si="70"/>
        <v>250018</v>
      </c>
      <c r="B4050" s="8" t="str">
        <f>"2561404012921"</f>
        <v>2561404012921</v>
      </c>
      <c r="C4050" s="8" t="s">
        <v>10</v>
      </c>
      <c r="D4050" s="9">
        <v>0</v>
      </c>
      <c r="E4050" s="8">
        <v>318</v>
      </c>
    </row>
    <row r="4051" s="3" customFormat="1" ht="18.75" spans="1:5">
      <c r="A4051" s="8" t="str">
        <f t="shared" si="70"/>
        <v>250018</v>
      </c>
      <c r="B4051" s="8" t="str">
        <f>"2561404012922"</f>
        <v>2561404012922</v>
      </c>
      <c r="C4051" s="8" t="s">
        <v>10</v>
      </c>
      <c r="D4051" s="9">
        <v>0</v>
      </c>
      <c r="E4051" s="8">
        <v>318</v>
      </c>
    </row>
    <row r="4052" s="3" customFormat="1" ht="18.75" spans="1:5">
      <c r="A4052" s="8" t="str">
        <f t="shared" si="70"/>
        <v>250018</v>
      </c>
      <c r="B4052" s="8" t="str">
        <f>"2561404012923"</f>
        <v>2561404012923</v>
      </c>
      <c r="C4052" s="8" t="s">
        <v>10</v>
      </c>
      <c r="D4052" s="9">
        <v>0</v>
      </c>
      <c r="E4052" s="8">
        <v>318</v>
      </c>
    </row>
    <row r="4053" s="3" customFormat="1" ht="18.75" spans="1:5">
      <c r="A4053" s="8" t="str">
        <f t="shared" si="70"/>
        <v>250018</v>
      </c>
      <c r="B4053" s="8" t="str">
        <f>"2561404012924"</f>
        <v>2561404012924</v>
      </c>
      <c r="C4053" s="8" t="s">
        <v>10</v>
      </c>
      <c r="D4053" s="9">
        <v>0</v>
      </c>
      <c r="E4053" s="8">
        <v>318</v>
      </c>
    </row>
    <row r="4054" s="3" customFormat="1" ht="18.75" spans="1:5">
      <c r="A4054" s="8" t="str">
        <f t="shared" si="70"/>
        <v>250018</v>
      </c>
      <c r="B4054" s="8" t="str">
        <f>"2561404012925"</f>
        <v>2561404012925</v>
      </c>
      <c r="C4054" s="8" t="s">
        <v>10</v>
      </c>
      <c r="D4054" s="9">
        <v>0</v>
      </c>
      <c r="E4054" s="8">
        <v>318</v>
      </c>
    </row>
    <row r="4055" s="3" customFormat="1" ht="18.75" spans="1:5">
      <c r="A4055" s="8" t="str">
        <f t="shared" si="70"/>
        <v>250018</v>
      </c>
      <c r="B4055" s="8" t="str">
        <f>"2561404012926"</f>
        <v>2561404012926</v>
      </c>
      <c r="C4055" s="8" t="s">
        <v>10</v>
      </c>
      <c r="D4055" s="9">
        <v>0</v>
      </c>
      <c r="E4055" s="8">
        <v>318</v>
      </c>
    </row>
    <row r="4056" s="3" customFormat="1" ht="18.75" spans="1:5">
      <c r="A4056" s="8" t="str">
        <f t="shared" si="70"/>
        <v>250018</v>
      </c>
      <c r="B4056" s="8" t="str">
        <f>"2561404012929"</f>
        <v>2561404012929</v>
      </c>
      <c r="C4056" s="8" t="s">
        <v>10</v>
      </c>
      <c r="D4056" s="9">
        <v>0</v>
      </c>
      <c r="E4056" s="8">
        <v>318</v>
      </c>
    </row>
    <row r="4057" s="3" customFormat="1" ht="18.75" spans="1:5">
      <c r="A4057" s="8" t="str">
        <f t="shared" si="70"/>
        <v>250018</v>
      </c>
      <c r="B4057" s="8" t="str">
        <f>"2561404012930"</f>
        <v>2561404012930</v>
      </c>
      <c r="C4057" s="8" t="s">
        <v>10</v>
      </c>
      <c r="D4057" s="9">
        <v>0</v>
      </c>
      <c r="E4057" s="8">
        <v>318</v>
      </c>
    </row>
    <row r="4058" s="3" customFormat="1" ht="18.75" spans="1:5">
      <c r="A4058" s="8" t="str">
        <f t="shared" si="70"/>
        <v>250018</v>
      </c>
      <c r="B4058" s="8" t="str">
        <f>"2561404013001"</f>
        <v>2561404013001</v>
      </c>
      <c r="C4058" s="8" t="s">
        <v>10</v>
      </c>
      <c r="D4058" s="9">
        <v>0</v>
      </c>
      <c r="E4058" s="8">
        <v>318</v>
      </c>
    </row>
    <row r="4059" s="3" customFormat="1" ht="18.75" spans="1:5">
      <c r="A4059" s="8" t="str">
        <f t="shared" si="70"/>
        <v>250018</v>
      </c>
      <c r="B4059" s="8" t="str">
        <f>"2561404013002"</f>
        <v>2561404013002</v>
      </c>
      <c r="C4059" s="8" t="s">
        <v>10</v>
      </c>
      <c r="D4059" s="9">
        <v>0</v>
      </c>
      <c r="E4059" s="8">
        <v>318</v>
      </c>
    </row>
    <row r="4060" s="3" customFormat="1" ht="18.75" spans="1:5">
      <c r="A4060" s="8" t="str">
        <f t="shared" si="70"/>
        <v>250018</v>
      </c>
      <c r="B4060" s="8" t="str">
        <f>"2561404013003"</f>
        <v>2561404013003</v>
      </c>
      <c r="C4060" s="8" t="s">
        <v>10</v>
      </c>
      <c r="D4060" s="9">
        <v>0</v>
      </c>
      <c r="E4060" s="8">
        <v>318</v>
      </c>
    </row>
    <row r="4061" s="3" customFormat="1" ht="18.75" spans="1:5">
      <c r="A4061" s="8" t="str">
        <f t="shared" si="70"/>
        <v>250018</v>
      </c>
      <c r="B4061" s="8" t="str">
        <f>"2561404013005"</f>
        <v>2561404013005</v>
      </c>
      <c r="C4061" s="8" t="s">
        <v>10</v>
      </c>
      <c r="D4061" s="9">
        <v>0</v>
      </c>
      <c r="E4061" s="8">
        <v>318</v>
      </c>
    </row>
    <row r="4062" s="3" customFormat="1" ht="18.75" spans="1:5">
      <c r="A4062" s="8" t="str">
        <f t="shared" si="70"/>
        <v>250018</v>
      </c>
      <c r="B4062" s="8" t="str">
        <f>"2561404013006"</f>
        <v>2561404013006</v>
      </c>
      <c r="C4062" s="8" t="s">
        <v>10</v>
      </c>
      <c r="D4062" s="9">
        <v>0</v>
      </c>
      <c r="E4062" s="8">
        <v>318</v>
      </c>
    </row>
    <row r="4063" s="3" customFormat="1" ht="18.75" spans="1:5">
      <c r="A4063" s="8" t="str">
        <f t="shared" si="70"/>
        <v>250018</v>
      </c>
      <c r="B4063" s="8" t="str">
        <f>"2561404013007"</f>
        <v>2561404013007</v>
      </c>
      <c r="C4063" s="8" t="s">
        <v>10</v>
      </c>
      <c r="D4063" s="9">
        <v>0</v>
      </c>
      <c r="E4063" s="8">
        <v>318</v>
      </c>
    </row>
    <row r="4064" s="3" customFormat="1" ht="18.75" spans="1:5">
      <c r="A4064" s="8" t="str">
        <f t="shared" si="70"/>
        <v>250018</v>
      </c>
      <c r="B4064" s="8" t="str">
        <f>"2561404013008"</f>
        <v>2561404013008</v>
      </c>
      <c r="C4064" s="8" t="s">
        <v>10</v>
      </c>
      <c r="D4064" s="9">
        <v>0</v>
      </c>
      <c r="E4064" s="8">
        <v>318</v>
      </c>
    </row>
    <row r="4065" s="3" customFormat="1" ht="18.75" spans="1:5">
      <c r="A4065" s="8" t="str">
        <f t="shared" si="70"/>
        <v>250018</v>
      </c>
      <c r="B4065" s="8" t="str">
        <f>"2561404013009"</f>
        <v>2561404013009</v>
      </c>
      <c r="C4065" s="8" t="s">
        <v>10</v>
      </c>
      <c r="D4065" s="9">
        <v>0</v>
      </c>
      <c r="E4065" s="8">
        <v>318</v>
      </c>
    </row>
    <row r="4066" s="3" customFormat="1" ht="18.75" spans="1:5">
      <c r="A4066" s="8" t="str">
        <f t="shared" si="70"/>
        <v>250018</v>
      </c>
      <c r="B4066" s="8" t="str">
        <f>"2561404013011"</f>
        <v>2561404013011</v>
      </c>
      <c r="C4066" s="8" t="s">
        <v>10</v>
      </c>
      <c r="D4066" s="9">
        <v>0</v>
      </c>
      <c r="E4066" s="8">
        <v>318</v>
      </c>
    </row>
    <row r="4067" s="3" customFormat="1" ht="18.75" spans="1:5">
      <c r="A4067" s="8" t="str">
        <f t="shared" si="70"/>
        <v>250018</v>
      </c>
      <c r="B4067" s="8" t="str">
        <f>"2561404013012"</f>
        <v>2561404013012</v>
      </c>
      <c r="C4067" s="8" t="s">
        <v>10</v>
      </c>
      <c r="D4067" s="9">
        <v>0</v>
      </c>
      <c r="E4067" s="8">
        <v>318</v>
      </c>
    </row>
    <row r="4068" s="3" customFormat="1" ht="18.75" spans="1:5">
      <c r="A4068" s="8" t="str">
        <f t="shared" si="70"/>
        <v>250018</v>
      </c>
      <c r="B4068" s="8" t="str">
        <f>"2561404013013"</f>
        <v>2561404013013</v>
      </c>
      <c r="C4068" s="8" t="s">
        <v>10</v>
      </c>
      <c r="D4068" s="9">
        <v>0</v>
      </c>
      <c r="E4068" s="8">
        <v>318</v>
      </c>
    </row>
    <row r="4069" s="3" customFormat="1" ht="18.75" spans="1:5">
      <c r="A4069" s="8" t="str">
        <f t="shared" si="70"/>
        <v>250018</v>
      </c>
      <c r="B4069" s="8" t="str">
        <f>"2561404013015"</f>
        <v>2561404013015</v>
      </c>
      <c r="C4069" s="8" t="s">
        <v>10</v>
      </c>
      <c r="D4069" s="9">
        <v>0</v>
      </c>
      <c r="E4069" s="8">
        <v>318</v>
      </c>
    </row>
    <row r="4070" s="3" customFormat="1" ht="18.75" spans="1:5">
      <c r="A4070" s="8" t="str">
        <f t="shared" si="70"/>
        <v>250018</v>
      </c>
      <c r="B4070" s="8" t="str">
        <f>"2561404013016"</f>
        <v>2561404013016</v>
      </c>
      <c r="C4070" s="8" t="s">
        <v>10</v>
      </c>
      <c r="D4070" s="9">
        <v>0</v>
      </c>
      <c r="E4070" s="8">
        <v>318</v>
      </c>
    </row>
    <row r="4071" s="3" customFormat="1" ht="18.75" spans="1:5">
      <c r="A4071" s="8" t="str">
        <f t="shared" si="70"/>
        <v>250018</v>
      </c>
      <c r="B4071" s="8" t="str">
        <f>"2561404013017"</f>
        <v>2561404013017</v>
      </c>
      <c r="C4071" s="8" t="s">
        <v>10</v>
      </c>
      <c r="D4071" s="9">
        <v>0</v>
      </c>
      <c r="E4071" s="8">
        <v>318</v>
      </c>
    </row>
    <row r="4072" s="3" customFormat="1" ht="18.75" spans="1:5">
      <c r="A4072" s="8" t="str">
        <f t="shared" ref="A4072:A4089" si="71">"250018"</f>
        <v>250018</v>
      </c>
      <c r="B4072" s="8" t="str">
        <f>"2561404013018"</f>
        <v>2561404013018</v>
      </c>
      <c r="C4072" s="8" t="s">
        <v>10</v>
      </c>
      <c r="D4072" s="9">
        <v>0</v>
      </c>
      <c r="E4072" s="8">
        <v>318</v>
      </c>
    </row>
    <row r="4073" s="3" customFormat="1" ht="18.75" spans="1:5">
      <c r="A4073" s="8" t="str">
        <f t="shared" si="71"/>
        <v>250018</v>
      </c>
      <c r="B4073" s="8" t="str">
        <f>"2561404013019"</f>
        <v>2561404013019</v>
      </c>
      <c r="C4073" s="8" t="s">
        <v>10</v>
      </c>
      <c r="D4073" s="9">
        <v>0</v>
      </c>
      <c r="E4073" s="8">
        <v>318</v>
      </c>
    </row>
    <row r="4074" s="3" customFormat="1" ht="18.75" spans="1:5">
      <c r="A4074" s="8" t="str">
        <f t="shared" si="71"/>
        <v>250018</v>
      </c>
      <c r="B4074" s="8" t="str">
        <f>"2561404013020"</f>
        <v>2561404013020</v>
      </c>
      <c r="C4074" s="8" t="s">
        <v>10</v>
      </c>
      <c r="D4074" s="9">
        <v>0</v>
      </c>
      <c r="E4074" s="8">
        <v>318</v>
      </c>
    </row>
    <row r="4075" s="3" customFormat="1" ht="18.75" spans="1:5">
      <c r="A4075" s="8" t="str">
        <f t="shared" si="71"/>
        <v>250018</v>
      </c>
      <c r="B4075" s="8" t="str">
        <f>"2561404013021"</f>
        <v>2561404013021</v>
      </c>
      <c r="C4075" s="8" t="s">
        <v>10</v>
      </c>
      <c r="D4075" s="9">
        <v>0</v>
      </c>
      <c r="E4075" s="8">
        <v>318</v>
      </c>
    </row>
    <row r="4076" s="3" customFormat="1" ht="18.75" spans="1:5">
      <c r="A4076" s="8" t="str">
        <f t="shared" si="71"/>
        <v>250018</v>
      </c>
      <c r="B4076" s="8" t="str">
        <f>"2561404013022"</f>
        <v>2561404013022</v>
      </c>
      <c r="C4076" s="8" t="s">
        <v>10</v>
      </c>
      <c r="D4076" s="9">
        <v>0</v>
      </c>
      <c r="E4076" s="8">
        <v>318</v>
      </c>
    </row>
    <row r="4077" s="3" customFormat="1" ht="18.75" spans="1:5">
      <c r="A4077" s="8" t="str">
        <f t="shared" si="71"/>
        <v>250018</v>
      </c>
      <c r="B4077" s="8" t="str">
        <f>"2561404013025"</f>
        <v>2561404013025</v>
      </c>
      <c r="C4077" s="8" t="s">
        <v>10</v>
      </c>
      <c r="D4077" s="9">
        <v>0</v>
      </c>
      <c r="E4077" s="8">
        <v>318</v>
      </c>
    </row>
    <row r="4078" s="3" customFormat="1" ht="18.75" spans="1:5">
      <c r="A4078" s="8" t="str">
        <f t="shared" si="71"/>
        <v>250018</v>
      </c>
      <c r="B4078" s="8" t="str">
        <f>"2561404013026"</f>
        <v>2561404013026</v>
      </c>
      <c r="C4078" s="8" t="s">
        <v>10</v>
      </c>
      <c r="D4078" s="9">
        <v>0</v>
      </c>
      <c r="E4078" s="8">
        <v>318</v>
      </c>
    </row>
    <row r="4079" s="3" customFormat="1" ht="18.75" spans="1:5">
      <c r="A4079" s="8" t="str">
        <f t="shared" si="71"/>
        <v>250018</v>
      </c>
      <c r="B4079" s="8" t="str">
        <f>"2561404013029"</f>
        <v>2561404013029</v>
      </c>
      <c r="C4079" s="8" t="s">
        <v>10</v>
      </c>
      <c r="D4079" s="9">
        <v>0</v>
      </c>
      <c r="E4079" s="8">
        <v>318</v>
      </c>
    </row>
    <row r="4080" s="3" customFormat="1" ht="18.75" spans="1:5">
      <c r="A4080" s="8" t="str">
        <f t="shared" si="71"/>
        <v>250018</v>
      </c>
      <c r="B4080" s="8" t="str">
        <f>"2561404013030"</f>
        <v>2561404013030</v>
      </c>
      <c r="C4080" s="8" t="s">
        <v>10</v>
      </c>
      <c r="D4080" s="9">
        <v>0</v>
      </c>
      <c r="E4080" s="8">
        <v>318</v>
      </c>
    </row>
    <row r="4081" s="3" customFormat="1" ht="18.75" spans="1:5">
      <c r="A4081" s="8" t="str">
        <f t="shared" si="71"/>
        <v>250018</v>
      </c>
      <c r="B4081" s="8" t="str">
        <f>"2561404013102"</f>
        <v>2561404013102</v>
      </c>
      <c r="C4081" s="8" t="s">
        <v>10</v>
      </c>
      <c r="D4081" s="9">
        <v>0</v>
      </c>
      <c r="E4081" s="8">
        <v>318</v>
      </c>
    </row>
    <row r="4082" s="3" customFormat="1" ht="18.75" spans="1:5">
      <c r="A4082" s="8" t="str">
        <f t="shared" si="71"/>
        <v>250018</v>
      </c>
      <c r="B4082" s="8" t="str">
        <f>"2561404013103"</f>
        <v>2561404013103</v>
      </c>
      <c r="C4082" s="8" t="s">
        <v>10</v>
      </c>
      <c r="D4082" s="9">
        <v>0</v>
      </c>
      <c r="E4082" s="8">
        <v>318</v>
      </c>
    </row>
    <row r="4083" s="3" customFormat="1" ht="18.75" spans="1:5">
      <c r="A4083" s="8" t="str">
        <f t="shared" si="71"/>
        <v>250018</v>
      </c>
      <c r="B4083" s="8" t="str">
        <f>"2561404013104"</f>
        <v>2561404013104</v>
      </c>
      <c r="C4083" s="8" t="s">
        <v>10</v>
      </c>
      <c r="D4083" s="9">
        <v>0</v>
      </c>
      <c r="E4083" s="8">
        <v>318</v>
      </c>
    </row>
    <row r="4084" s="3" customFormat="1" ht="18.75" spans="1:5">
      <c r="A4084" s="8" t="str">
        <f t="shared" si="71"/>
        <v>250018</v>
      </c>
      <c r="B4084" s="8" t="str">
        <f>"2561404013106"</f>
        <v>2561404013106</v>
      </c>
      <c r="C4084" s="8" t="s">
        <v>10</v>
      </c>
      <c r="D4084" s="9">
        <v>0</v>
      </c>
      <c r="E4084" s="8">
        <v>318</v>
      </c>
    </row>
    <row r="4085" s="3" customFormat="1" ht="18.75" spans="1:5">
      <c r="A4085" s="8" t="str">
        <f t="shared" si="71"/>
        <v>250018</v>
      </c>
      <c r="B4085" s="8" t="str">
        <f>"2561404013109"</f>
        <v>2561404013109</v>
      </c>
      <c r="C4085" s="8" t="s">
        <v>10</v>
      </c>
      <c r="D4085" s="9">
        <v>0</v>
      </c>
      <c r="E4085" s="8">
        <v>318</v>
      </c>
    </row>
    <row r="4086" s="3" customFormat="1" ht="18.75" spans="1:5">
      <c r="A4086" s="8" t="str">
        <f t="shared" si="71"/>
        <v>250018</v>
      </c>
      <c r="B4086" s="8" t="str">
        <f>"2561404013110"</f>
        <v>2561404013110</v>
      </c>
      <c r="C4086" s="8" t="s">
        <v>10</v>
      </c>
      <c r="D4086" s="9">
        <v>0</v>
      </c>
      <c r="E4086" s="8">
        <v>318</v>
      </c>
    </row>
    <row r="4087" s="3" customFormat="1" ht="18.75" spans="1:5">
      <c r="A4087" s="8" t="str">
        <f t="shared" si="71"/>
        <v>250018</v>
      </c>
      <c r="B4087" s="8" t="str">
        <f>"2561404013111"</f>
        <v>2561404013111</v>
      </c>
      <c r="C4087" s="8" t="s">
        <v>10</v>
      </c>
      <c r="D4087" s="9">
        <v>0</v>
      </c>
      <c r="E4087" s="8">
        <v>318</v>
      </c>
    </row>
    <row r="4088" s="3" customFormat="1" ht="18.75" spans="1:5">
      <c r="A4088" s="8" t="str">
        <f t="shared" si="71"/>
        <v>250018</v>
      </c>
      <c r="B4088" s="8" t="str">
        <f>"2561404013112"</f>
        <v>2561404013112</v>
      </c>
      <c r="C4088" s="8" t="s">
        <v>10</v>
      </c>
      <c r="D4088" s="9">
        <v>0</v>
      </c>
      <c r="E4088" s="8">
        <v>318</v>
      </c>
    </row>
    <row r="4089" s="3" customFormat="1" ht="18.75" spans="1:5">
      <c r="A4089" s="8" t="str">
        <f t="shared" si="71"/>
        <v>250018</v>
      </c>
      <c r="B4089" s="8" t="str">
        <f>"2561404013113"</f>
        <v>2561404013113</v>
      </c>
      <c r="C4089" s="8" t="s">
        <v>10</v>
      </c>
      <c r="D4089" s="9">
        <v>0</v>
      </c>
      <c r="E4089" s="8">
        <v>318</v>
      </c>
    </row>
    <row r="4090" s="3" customFormat="1" ht="18.75" spans="1:5">
      <c r="A4090" s="8" t="str">
        <f t="shared" ref="A4090:A4136" si="72">"250019"</f>
        <v>250019</v>
      </c>
      <c r="B4090" s="8" t="str">
        <f>"2561404013118"</f>
        <v>2561404013118</v>
      </c>
      <c r="C4090" s="8" t="s">
        <v>10</v>
      </c>
      <c r="D4090" s="9">
        <v>67.52</v>
      </c>
      <c r="E4090" s="8">
        <v>1</v>
      </c>
    </row>
    <row r="4091" s="3" customFormat="1" ht="18.75" spans="1:5">
      <c r="A4091" s="8" t="str">
        <f t="shared" si="72"/>
        <v>250019</v>
      </c>
      <c r="B4091" s="8" t="str">
        <f>"2561404013203"</f>
        <v>2561404013203</v>
      </c>
      <c r="C4091" s="8" t="s">
        <v>10</v>
      </c>
      <c r="D4091" s="9">
        <v>65.83</v>
      </c>
      <c r="E4091" s="8">
        <v>2</v>
      </c>
    </row>
    <row r="4092" s="3" customFormat="1" ht="18.75" spans="1:5">
      <c r="A4092" s="8" t="str">
        <f t="shared" si="72"/>
        <v>250019</v>
      </c>
      <c r="B4092" s="8" t="str">
        <f>"2561404013218"</f>
        <v>2561404013218</v>
      </c>
      <c r="C4092" s="8" t="s">
        <v>10</v>
      </c>
      <c r="D4092" s="9">
        <v>63.57</v>
      </c>
      <c r="E4092" s="8">
        <v>3</v>
      </c>
    </row>
    <row r="4093" s="3" customFormat="1" ht="18.75" spans="1:5">
      <c r="A4093" s="8" t="str">
        <f t="shared" si="72"/>
        <v>250019</v>
      </c>
      <c r="B4093" s="8" t="str">
        <f>"2561404013126"</f>
        <v>2561404013126</v>
      </c>
      <c r="C4093" s="8" t="s">
        <v>10</v>
      </c>
      <c r="D4093" s="9">
        <v>63.3</v>
      </c>
      <c r="E4093" s="8">
        <v>4</v>
      </c>
    </row>
    <row r="4094" s="3" customFormat="1" ht="18.75" spans="1:5">
      <c r="A4094" s="8" t="str">
        <f t="shared" si="72"/>
        <v>250019</v>
      </c>
      <c r="B4094" s="8" t="str">
        <f>"2561404013213"</f>
        <v>2561404013213</v>
      </c>
      <c r="C4094" s="8" t="s">
        <v>10</v>
      </c>
      <c r="D4094" s="9">
        <v>62.53</v>
      </c>
      <c r="E4094" s="8">
        <v>5</v>
      </c>
    </row>
    <row r="4095" s="3" customFormat="1" ht="18.75" spans="1:5">
      <c r="A4095" s="8" t="str">
        <f t="shared" si="72"/>
        <v>250019</v>
      </c>
      <c r="B4095" s="8" t="str">
        <f>"2561404013123"</f>
        <v>2561404013123</v>
      </c>
      <c r="C4095" s="8" t="s">
        <v>10</v>
      </c>
      <c r="D4095" s="9">
        <v>62.24</v>
      </c>
      <c r="E4095" s="8">
        <v>6</v>
      </c>
    </row>
    <row r="4096" s="3" customFormat="1" ht="18.75" spans="1:5">
      <c r="A4096" s="8" t="str">
        <f t="shared" si="72"/>
        <v>250019</v>
      </c>
      <c r="B4096" s="8" t="str">
        <f>"2561404013222"</f>
        <v>2561404013222</v>
      </c>
      <c r="C4096" s="8" t="s">
        <v>10</v>
      </c>
      <c r="D4096" s="9">
        <v>61.39</v>
      </c>
      <c r="E4096" s="8">
        <v>7</v>
      </c>
    </row>
    <row r="4097" s="3" customFormat="1" ht="18.75" spans="1:5">
      <c r="A4097" s="8" t="str">
        <f t="shared" si="72"/>
        <v>250019</v>
      </c>
      <c r="B4097" s="8" t="str">
        <f>"2561404013208"</f>
        <v>2561404013208</v>
      </c>
      <c r="C4097" s="8" t="s">
        <v>10</v>
      </c>
      <c r="D4097" s="9">
        <v>61.22</v>
      </c>
      <c r="E4097" s="8">
        <v>8</v>
      </c>
    </row>
    <row r="4098" s="3" customFormat="1" ht="18.75" spans="1:5">
      <c r="A4098" s="8" t="str">
        <f t="shared" si="72"/>
        <v>250019</v>
      </c>
      <c r="B4098" s="8" t="str">
        <f>"2561404013207"</f>
        <v>2561404013207</v>
      </c>
      <c r="C4098" s="8" t="s">
        <v>10</v>
      </c>
      <c r="D4098" s="9">
        <v>60.06</v>
      </c>
      <c r="E4098" s="8">
        <v>9</v>
      </c>
    </row>
    <row r="4099" s="3" customFormat="1" ht="18.75" spans="1:5">
      <c r="A4099" s="8" t="str">
        <f t="shared" si="72"/>
        <v>250019</v>
      </c>
      <c r="B4099" s="8" t="str">
        <f>"2561404013202"</f>
        <v>2561404013202</v>
      </c>
      <c r="C4099" s="8" t="s">
        <v>10</v>
      </c>
      <c r="D4099" s="9">
        <v>59.59</v>
      </c>
      <c r="E4099" s="8">
        <v>10</v>
      </c>
    </row>
    <row r="4100" s="3" customFormat="1" ht="18.75" spans="1:5">
      <c r="A4100" s="8" t="str">
        <f t="shared" si="72"/>
        <v>250019</v>
      </c>
      <c r="B4100" s="8" t="str">
        <f>"2561404013230"</f>
        <v>2561404013230</v>
      </c>
      <c r="C4100" s="8" t="s">
        <v>10</v>
      </c>
      <c r="D4100" s="9">
        <v>59.25</v>
      </c>
      <c r="E4100" s="8">
        <v>11</v>
      </c>
    </row>
    <row r="4101" s="3" customFormat="1" ht="18.75" spans="1:5">
      <c r="A4101" s="8" t="str">
        <f t="shared" si="72"/>
        <v>250019</v>
      </c>
      <c r="B4101" s="8" t="str">
        <f>"2561404013217"</f>
        <v>2561404013217</v>
      </c>
      <c r="C4101" s="8" t="s">
        <v>10</v>
      </c>
      <c r="D4101" s="9">
        <v>57.55</v>
      </c>
      <c r="E4101" s="8">
        <v>12</v>
      </c>
    </row>
    <row r="4102" s="3" customFormat="1" ht="18.75" spans="1:5">
      <c r="A4102" s="8" t="str">
        <f t="shared" si="72"/>
        <v>250019</v>
      </c>
      <c r="B4102" s="8" t="str">
        <f>"2561404013301"</f>
        <v>2561404013301</v>
      </c>
      <c r="C4102" s="8" t="s">
        <v>10</v>
      </c>
      <c r="D4102" s="9">
        <v>57.11</v>
      </c>
      <c r="E4102" s="8">
        <v>13</v>
      </c>
    </row>
    <row r="4103" s="3" customFormat="1" ht="18.75" spans="1:5">
      <c r="A4103" s="8" t="str">
        <f t="shared" si="72"/>
        <v>250019</v>
      </c>
      <c r="B4103" s="8" t="str">
        <f>"2561404013216"</f>
        <v>2561404013216</v>
      </c>
      <c r="C4103" s="8" t="s">
        <v>10</v>
      </c>
      <c r="D4103" s="9">
        <v>56.64</v>
      </c>
      <c r="E4103" s="8">
        <v>14</v>
      </c>
    </row>
    <row r="4104" s="3" customFormat="1" ht="18.75" spans="1:5">
      <c r="A4104" s="8" t="str">
        <f t="shared" si="72"/>
        <v>250019</v>
      </c>
      <c r="B4104" s="8" t="str">
        <f>"2561404013214"</f>
        <v>2561404013214</v>
      </c>
      <c r="C4104" s="8" t="s">
        <v>10</v>
      </c>
      <c r="D4104" s="9">
        <v>55.98</v>
      </c>
      <c r="E4104" s="8">
        <v>15</v>
      </c>
    </row>
    <row r="4105" s="3" customFormat="1" ht="18.75" spans="1:5">
      <c r="A4105" s="8" t="str">
        <f t="shared" si="72"/>
        <v>250019</v>
      </c>
      <c r="B4105" s="8" t="str">
        <f>"2561404013127"</f>
        <v>2561404013127</v>
      </c>
      <c r="C4105" s="8" t="s">
        <v>10</v>
      </c>
      <c r="D4105" s="9">
        <v>54.71</v>
      </c>
      <c r="E4105" s="8">
        <v>16</v>
      </c>
    </row>
    <row r="4106" s="3" customFormat="1" ht="18.75" spans="1:5">
      <c r="A4106" s="8" t="str">
        <f t="shared" si="72"/>
        <v>250019</v>
      </c>
      <c r="B4106" s="8" t="str">
        <f>"2561404013122"</f>
        <v>2561404013122</v>
      </c>
      <c r="C4106" s="8" t="s">
        <v>10</v>
      </c>
      <c r="D4106" s="9">
        <v>54.53</v>
      </c>
      <c r="E4106" s="8">
        <v>17</v>
      </c>
    </row>
    <row r="4107" s="3" customFormat="1" ht="18.75" spans="1:5">
      <c r="A4107" s="8" t="str">
        <f t="shared" si="72"/>
        <v>250019</v>
      </c>
      <c r="B4107" s="8" t="str">
        <f>"2561404013204"</f>
        <v>2561404013204</v>
      </c>
      <c r="C4107" s="8" t="s">
        <v>10</v>
      </c>
      <c r="D4107" s="9">
        <v>54.02</v>
      </c>
      <c r="E4107" s="8">
        <v>18</v>
      </c>
    </row>
    <row r="4108" s="3" customFormat="1" ht="18.75" spans="1:5">
      <c r="A4108" s="8" t="str">
        <f t="shared" si="72"/>
        <v>250019</v>
      </c>
      <c r="B4108" s="8" t="str">
        <f>"2561404013120"</f>
        <v>2561404013120</v>
      </c>
      <c r="C4108" s="8" t="s">
        <v>10</v>
      </c>
      <c r="D4108" s="9">
        <v>53.8</v>
      </c>
      <c r="E4108" s="8">
        <v>19</v>
      </c>
    </row>
    <row r="4109" s="3" customFormat="1" ht="18.75" spans="1:5">
      <c r="A4109" s="8" t="str">
        <f t="shared" si="72"/>
        <v>250019</v>
      </c>
      <c r="B4109" s="8" t="str">
        <f>"2561404013225"</f>
        <v>2561404013225</v>
      </c>
      <c r="C4109" s="8" t="s">
        <v>10</v>
      </c>
      <c r="D4109" s="9">
        <v>51.7</v>
      </c>
      <c r="E4109" s="8">
        <v>20</v>
      </c>
    </row>
    <row r="4110" s="3" customFormat="1" ht="18.75" spans="1:5">
      <c r="A4110" s="8" t="str">
        <f t="shared" si="72"/>
        <v>250019</v>
      </c>
      <c r="B4110" s="8" t="str">
        <f>"2561404013119"</f>
        <v>2561404013119</v>
      </c>
      <c r="C4110" s="8" t="s">
        <v>10</v>
      </c>
      <c r="D4110" s="9">
        <v>51.57</v>
      </c>
      <c r="E4110" s="8">
        <v>21</v>
      </c>
    </row>
    <row r="4111" s="3" customFormat="1" ht="18.75" spans="1:5">
      <c r="A4111" s="8" t="str">
        <f t="shared" si="72"/>
        <v>250019</v>
      </c>
      <c r="B4111" s="8" t="str">
        <f>"2561404013228"</f>
        <v>2561404013228</v>
      </c>
      <c r="C4111" s="8" t="s">
        <v>10</v>
      </c>
      <c r="D4111" s="9">
        <v>50.22</v>
      </c>
      <c r="E4111" s="8">
        <v>22</v>
      </c>
    </row>
    <row r="4112" s="3" customFormat="1" ht="18.75" spans="1:5">
      <c r="A4112" s="8" t="str">
        <f t="shared" si="72"/>
        <v>250019</v>
      </c>
      <c r="B4112" s="8" t="str">
        <f>"2561404013219"</f>
        <v>2561404013219</v>
      </c>
      <c r="C4112" s="8" t="s">
        <v>10</v>
      </c>
      <c r="D4112" s="9">
        <v>48.17</v>
      </c>
      <c r="E4112" s="8">
        <v>23</v>
      </c>
    </row>
    <row r="4113" s="3" customFormat="1" ht="18.75" spans="1:5">
      <c r="A4113" s="8" t="str">
        <f t="shared" si="72"/>
        <v>250019</v>
      </c>
      <c r="B4113" s="8" t="str">
        <f>"2561404013115"</f>
        <v>2561404013115</v>
      </c>
      <c r="C4113" s="8" t="s">
        <v>10</v>
      </c>
      <c r="D4113" s="9">
        <v>47.47</v>
      </c>
      <c r="E4113" s="8">
        <v>24</v>
      </c>
    </row>
    <row r="4114" s="3" customFormat="1" ht="18.75" spans="1:5">
      <c r="A4114" s="8" t="str">
        <f t="shared" si="72"/>
        <v>250019</v>
      </c>
      <c r="B4114" s="8" t="str">
        <f>"2561404013116"</f>
        <v>2561404013116</v>
      </c>
      <c r="C4114" s="8" t="s">
        <v>10</v>
      </c>
      <c r="D4114" s="9">
        <v>39.14</v>
      </c>
      <c r="E4114" s="8">
        <v>25</v>
      </c>
    </row>
    <row r="4115" s="3" customFormat="1" ht="18.75" spans="1:5">
      <c r="A4115" s="8" t="str">
        <f t="shared" si="72"/>
        <v>250019</v>
      </c>
      <c r="B4115" s="8" t="str">
        <f>"2561404013206"</f>
        <v>2561404013206</v>
      </c>
      <c r="C4115" s="8" t="s">
        <v>10</v>
      </c>
      <c r="D4115" s="9">
        <v>38.37</v>
      </c>
      <c r="E4115" s="8">
        <v>26</v>
      </c>
    </row>
    <row r="4116" s="3" customFormat="1" ht="18.75" spans="1:5">
      <c r="A4116" s="8" t="str">
        <f t="shared" si="72"/>
        <v>250019</v>
      </c>
      <c r="B4116" s="8" t="str">
        <f>"2561404013229"</f>
        <v>2561404013229</v>
      </c>
      <c r="C4116" s="8" t="s">
        <v>10</v>
      </c>
      <c r="D4116" s="9">
        <v>32.37</v>
      </c>
      <c r="E4116" s="8">
        <v>27</v>
      </c>
    </row>
    <row r="4117" s="3" customFormat="1" ht="18.75" spans="1:5">
      <c r="A4117" s="8" t="str">
        <f t="shared" si="72"/>
        <v>250019</v>
      </c>
      <c r="B4117" s="8" t="str">
        <f>"2561404013215"</f>
        <v>2561404013215</v>
      </c>
      <c r="C4117" s="8" t="s">
        <v>10</v>
      </c>
      <c r="D4117" s="9">
        <v>31.3</v>
      </c>
      <c r="E4117" s="8">
        <v>28</v>
      </c>
    </row>
    <row r="4118" s="3" customFormat="1" ht="18.75" spans="1:5">
      <c r="A4118" s="8" t="str">
        <f t="shared" si="72"/>
        <v>250019</v>
      </c>
      <c r="B4118" s="8" t="str">
        <f>"2561404013226"</f>
        <v>2561404013226</v>
      </c>
      <c r="C4118" s="8" t="s">
        <v>10</v>
      </c>
      <c r="D4118" s="9">
        <v>24.16</v>
      </c>
      <c r="E4118" s="8">
        <v>29</v>
      </c>
    </row>
    <row r="4119" s="3" customFormat="1" ht="18.75" spans="1:5">
      <c r="A4119" s="8" t="str">
        <f t="shared" si="72"/>
        <v>250019</v>
      </c>
      <c r="B4119" s="8" t="str">
        <f>"2561404013117"</f>
        <v>2561404013117</v>
      </c>
      <c r="C4119" s="8" t="s">
        <v>10</v>
      </c>
      <c r="D4119" s="9">
        <v>0</v>
      </c>
      <c r="E4119" s="8">
        <v>30</v>
      </c>
    </row>
    <row r="4120" s="3" customFormat="1" ht="18.75" spans="1:5">
      <c r="A4120" s="8" t="str">
        <f t="shared" si="72"/>
        <v>250019</v>
      </c>
      <c r="B4120" s="8" t="str">
        <f>"2561404013121"</f>
        <v>2561404013121</v>
      </c>
      <c r="C4120" s="8" t="s">
        <v>10</v>
      </c>
      <c r="D4120" s="9">
        <v>0</v>
      </c>
      <c r="E4120" s="8">
        <v>30</v>
      </c>
    </row>
    <row r="4121" s="3" customFormat="1" ht="18.75" spans="1:5">
      <c r="A4121" s="8" t="str">
        <f t="shared" si="72"/>
        <v>250019</v>
      </c>
      <c r="B4121" s="8" t="str">
        <f>"2561404013124"</f>
        <v>2561404013124</v>
      </c>
      <c r="C4121" s="8" t="s">
        <v>10</v>
      </c>
      <c r="D4121" s="9">
        <v>0</v>
      </c>
      <c r="E4121" s="8">
        <v>30</v>
      </c>
    </row>
    <row r="4122" s="3" customFormat="1" ht="18.75" spans="1:5">
      <c r="A4122" s="8" t="str">
        <f t="shared" si="72"/>
        <v>250019</v>
      </c>
      <c r="B4122" s="8" t="str">
        <f>"2561404013125"</f>
        <v>2561404013125</v>
      </c>
      <c r="C4122" s="8" t="s">
        <v>10</v>
      </c>
      <c r="D4122" s="9">
        <v>0</v>
      </c>
      <c r="E4122" s="8">
        <v>30</v>
      </c>
    </row>
    <row r="4123" s="3" customFormat="1" ht="18.75" spans="1:5">
      <c r="A4123" s="8" t="str">
        <f t="shared" si="72"/>
        <v>250019</v>
      </c>
      <c r="B4123" s="8" t="str">
        <f>"2561404013128"</f>
        <v>2561404013128</v>
      </c>
      <c r="C4123" s="8" t="s">
        <v>10</v>
      </c>
      <c r="D4123" s="9">
        <v>0</v>
      </c>
      <c r="E4123" s="8">
        <v>30</v>
      </c>
    </row>
    <row r="4124" s="3" customFormat="1" ht="18.75" spans="1:5">
      <c r="A4124" s="8" t="str">
        <f t="shared" si="72"/>
        <v>250019</v>
      </c>
      <c r="B4124" s="8" t="str">
        <f>"2561404013129"</f>
        <v>2561404013129</v>
      </c>
      <c r="C4124" s="8" t="s">
        <v>10</v>
      </c>
      <c r="D4124" s="9">
        <v>0</v>
      </c>
      <c r="E4124" s="8">
        <v>30</v>
      </c>
    </row>
    <row r="4125" s="3" customFormat="1" ht="18.75" spans="1:5">
      <c r="A4125" s="8" t="str">
        <f t="shared" si="72"/>
        <v>250019</v>
      </c>
      <c r="B4125" s="8" t="str">
        <f>"2561404013130"</f>
        <v>2561404013130</v>
      </c>
      <c r="C4125" s="8" t="s">
        <v>10</v>
      </c>
      <c r="D4125" s="9">
        <v>0</v>
      </c>
      <c r="E4125" s="8">
        <v>30</v>
      </c>
    </row>
    <row r="4126" s="3" customFormat="1" ht="18.75" spans="1:5">
      <c r="A4126" s="8" t="str">
        <f t="shared" si="72"/>
        <v>250019</v>
      </c>
      <c r="B4126" s="8" t="str">
        <f>"2561404013201"</f>
        <v>2561404013201</v>
      </c>
      <c r="C4126" s="8" t="s">
        <v>10</v>
      </c>
      <c r="D4126" s="9">
        <v>0</v>
      </c>
      <c r="E4126" s="8">
        <v>30</v>
      </c>
    </row>
    <row r="4127" s="3" customFormat="1" ht="18.75" spans="1:5">
      <c r="A4127" s="8" t="str">
        <f t="shared" si="72"/>
        <v>250019</v>
      </c>
      <c r="B4127" s="8" t="str">
        <f>"2561404013205"</f>
        <v>2561404013205</v>
      </c>
      <c r="C4127" s="8" t="s">
        <v>10</v>
      </c>
      <c r="D4127" s="9">
        <v>0</v>
      </c>
      <c r="E4127" s="8">
        <v>30</v>
      </c>
    </row>
    <row r="4128" s="3" customFormat="1" ht="18.75" spans="1:5">
      <c r="A4128" s="8" t="str">
        <f t="shared" si="72"/>
        <v>250019</v>
      </c>
      <c r="B4128" s="8" t="str">
        <f>"2561404013209"</f>
        <v>2561404013209</v>
      </c>
      <c r="C4128" s="8" t="s">
        <v>10</v>
      </c>
      <c r="D4128" s="9">
        <v>0</v>
      </c>
      <c r="E4128" s="8">
        <v>30</v>
      </c>
    </row>
    <row r="4129" s="3" customFormat="1" ht="18.75" spans="1:5">
      <c r="A4129" s="8" t="str">
        <f t="shared" si="72"/>
        <v>250019</v>
      </c>
      <c r="B4129" s="8" t="str">
        <f>"2561404013210"</f>
        <v>2561404013210</v>
      </c>
      <c r="C4129" s="8" t="s">
        <v>10</v>
      </c>
      <c r="D4129" s="9">
        <v>0</v>
      </c>
      <c r="E4129" s="8">
        <v>30</v>
      </c>
    </row>
    <row r="4130" s="3" customFormat="1" ht="18.75" spans="1:5">
      <c r="A4130" s="8" t="str">
        <f t="shared" si="72"/>
        <v>250019</v>
      </c>
      <c r="B4130" s="8" t="str">
        <f>"2561404013211"</f>
        <v>2561404013211</v>
      </c>
      <c r="C4130" s="8" t="s">
        <v>10</v>
      </c>
      <c r="D4130" s="9">
        <v>0</v>
      </c>
      <c r="E4130" s="8">
        <v>30</v>
      </c>
    </row>
    <row r="4131" s="3" customFormat="1" ht="18.75" spans="1:5">
      <c r="A4131" s="8" t="str">
        <f t="shared" si="72"/>
        <v>250019</v>
      </c>
      <c r="B4131" s="8" t="str">
        <f>"2561404013212"</f>
        <v>2561404013212</v>
      </c>
      <c r="C4131" s="8" t="s">
        <v>10</v>
      </c>
      <c r="D4131" s="9">
        <v>0</v>
      </c>
      <c r="E4131" s="8">
        <v>30</v>
      </c>
    </row>
    <row r="4132" s="3" customFormat="1" ht="18.75" spans="1:5">
      <c r="A4132" s="8" t="str">
        <f t="shared" si="72"/>
        <v>250019</v>
      </c>
      <c r="B4132" s="8" t="str">
        <f>"2561404013220"</f>
        <v>2561404013220</v>
      </c>
      <c r="C4132" s="8" t="s">
        <v>10</v>
      </c>
      <c r="D4132" s="9">
        <v>0</v>
      </c>
      <c r="E4132" s="8">
        <v>30</v>
      </c>
    </row>
    <row r="4133" s="3" customFormat="1" ht="18.75" spans="1:5">
      <c r="A4133" s="8" t="str">
        <f t="shared" si="72"/>
        <v>250019</v>
      </c>
      <c r="B4133" s="8" t="str">
        <f>"2561404013221"</f>
        <v>2561404013221</v>
      </c>
      <c r="C4133" s="8" t="s">
        <v>10</v>
      </c>
      <c r="D4133" s="9">
        <v>0</v>
      </c>
      <c r="E4133" s="8">
        <v>30</v>
      </c>
    </row>
    <row r="4134" s="3" customFormat="1" ht="18.75" spans="1:5">
      <c r="A4134" s="8" t="str">
        <f t="shared" si="72"/>
        <v>250019</v>
      </c>
      <c r="B4134" s="8" t="str">
        <f>"2561404013223"</f>
        <v>2561404013223</v>
      </c>
      <c r="C4134" s="8" t="s">
        <v>10</v>
      </c>
      <c r="D4134" s="9">
        <v>0</v>
      </c>
      <c r="E4134" s="8">
        <v>30</v>
      </c>
    </row>
    <row r="4135" s="3" customFormat="1" ht="18.75" spans="1:5">
      <c r="A4135" s="8" t="str">
        <f t="shared" si="72"/>
        <v>250019</v>
      </c>
      <c r="B4135" s="8" t="str">
        <f>"2561404013224"</f>
        <v>2561404013224</v>
      </c>
      <c r="C4135" s="8" t="s">
        <v>10</v>
      </c>
      <c r="D4135" s="9">
        <v>0</v>
      </c>
      <c r="E4135" s="8">
        <v>30</v>
      </c>
    </row>
    <row r="4136" s="3" customFormat="1" ht="18.75" spans="1:5">
      <c r="A4136" s="8" t="str">
        <f t="shared" si="72"/>
        <v>250019</v>
      </c>
      <c r="B4136" s="8" t="str">
        <f>"2561404013227"</f>
        <v>2561404013227</v>
      </c>
      <c r="C4136" s="8" t="s">
        <v>10</v>
      </c>
      <c r="D4136" s="9">
        <v>0</v>
      </c>
      <c r="E4136" s="8">
        <v>30</v>
      </c>
    </row>
    <row r="4137" s="3" customFormat="1" ht="18.75" spans="1:5">
      <c r="A4137" s="8" t="str">
        <f t="shared" ref="A4137:A4200" si="73">"250020"</f>
        <v>250020</v>
      </c>
      <c r="B4137" s="8" t="str">
        <f>"2561404013517"</f>
        <v>2561404013517</v>
      </c>
      <c r="C4137" s="8" t="s">
        <v>10</v>
      </c>
      <c r="D4137" s="9">
        <v>68.34</v>
      </c>
      <c r="E4137" s="8">
        <v>1</v>
      </c>
    </row>
    <row r="4138" s="3" customFormat="1" ht="18.75" spans="1:5">
      <c r="A4138" s="8" t="str">
        <f t="shared" si="73"/>
        <v>250020</v>
      </c>
      <c r="B4138" s="8" t="str">
        <f>"2561404013418"</f>
        <v>2561404013418</v>
      </c>
      <c r="C4138" s="8" t="s">
        <v>10</v>
      </c>
      <c r="D4138" s="9">
        <v>67.73</v>
      </c>
      <c r="E4138" s="8">
        <v>2</v>
      </c>
    </row>
    <row r="4139" s="3" customFormat="1" ht="18.75" spans="1:5">
      <c r="A4139" s="8" t="str">
        <f t="shared" si="73"/>
        <v>250020</v>
      </c>
      <c r="B4139" s="8" t="str">
        <f>"2561404013315"</f>
        <v>2561404013315</v>
      </c>
      <c r="C4139" s="8" t="s">
        <v>10</v>
      </c>
      <c r="D4139" s="9">
        <v>65.82</v>
      </c>
      <c r="E4139" s="8">
        <v>3</v>
      </c>
    </row>
    <row r="4140" s="3" customFormat="1" ht="18.75" spans="1:5">
      <c r="A4140" s="8" t="str">
        <f t="shared" si="73"/>
        <v>250020</v>
      </c>
      <c r="B4140" s="8" t="str">
        <f>"2561404013314"</f>
        <v>2561404013314</v>
      </c>
      <c r="C4140" s="8" t="s">
        <v>10</v>
      </c>
      <c r="D4140" s="9">
        <v>65.4</v>
      </c>
      <c r="E4140" s="8">
        <v>4</v>
      </c>
    </row>
    <row r="4141" s="3" customFormat="1" ht="18.75" spans="1:5">
      <c r="A4141" s="8" t="str">
        <f t="shared" si="73"/>
        <v>250020</v>
      </c>
      <c r="B4141" s="8" t="str">
        <f>"2561404013310"</f>
        <v>2561404013310</v>
      </c>
      <c r="C4141" s="8" t="s">
        <v>10</v>
      </c>
      <c r="D4141" s="9">
        <v>65.03</v>
      </c>
      <c r="E4141" s="8">
        <v>5</v>
      </c>
    </row>
    <row r="4142" s="3" customFormat="1" ht="18.75" spans="1:5">
      <c r="A4142" s="8" t="str">
        <f t="shared" si="73"/>
        <v>250020</v>
      </c>
      <c r="B4142" s="8" t="str">
        <f>"2561404013307"</f>
        <v>2561404013307</v>
      </c>
      <c r="C4142" s="8" t="s">
        <v>10</v>
      </c>
      <c r="D4142" s="9">
        <v>64.84</v>
      </c>
      <c r="E4142" s="8">
        <v>6</v>
      </c>
    </row>
    <row r="4143" s="3" customFormat="1" ht="18.75" spans="1:5">
      <c r="A4143" s="8" t="str">
        <f t="shared" si="73"/>
        <v>250020</v>
      </c>
      <c r="B4143" s="8" t="str">
        <f>"2561404013406"</f>
        <v>2561404013406</v>
      </c>
      <c r="C4143" s="8" t="s">
        <v>10</v>
      </c>
      <c r="D4143" s="9">
        <v>64.52</v>
      </c>
      <c r="E4143" s="8">
        <v>7</v>
      </c>
    </row>
    <row r="4144" s="3" customFormat="1" ht="18.75" spans="1:5">
      <c r="A4144" s="8" t="str">
        <f t="shared" si="73"/>
        <v>250020</v>
      </c>
      <c r="B4144" s="8" t="str">
        <f>"2561404013626"</f>
        <v>2561404013626</v>
      </c>
      <c r="C4144" s="8" t="s">
        <v>10</v>
      </c>
      <c r="D4144" s="9">
        <v>64.24</v>
      </c>
      <c r="E4144" s="8">
        <v>8</v>
      </c>
    </row>
    <row r="4145" s="3" customFormat="1" ht="18.75" spans="1:5">
      <c r="A4145" s="8" t="str">
        <f t="shared" si="73"/>
        <v>250020</v>
      </c>
      <c r="B4145" s="8" t="str">
        <f>"2561404013616"</f>
        <v>2561404013616</v>
      </c>
      <c r="C4145" s="8" t="s">
        <v>10</v>
      </c>
      <c r="D4145" s="9">
        <v>63.72</v>
      </c>
      <c r="E4145" s="8">
        <v>9</v>
      </c>
    </row>
    <row r="4146" s="3" customFormat="1" ht="18.75" spans="1:5">
      <c r="A4146" s="8" t="str">
        <f t="shared" si="73"/>
        <v>250020</v>
      </c>
      <c r="B4146" s="8" t="str">
        <f>"2561404013604"</f>
        <v>2561404013604</v>
      </c>
      <c r="C4146" s="8" t="s">
        <v>10</v>
      </c>
      <c r="D4146" s="9">
        <v>63.38</v>
      </c>
      <c r="E4146" s="8">
        <v>10</v>
      </c>
    </row>
    <row r="4147" s="3" customFormat="1" ht="18.75" spans="1:5">
      <c r="A4147" s="8" t="str">
        <f t="shared" si="73"/>
        <v>250020</v>
      </c>
      <c r="B4147" s="8" t="str">
        <f>"2561404013530"</f>
        <v>2561404013530</v>
      </c>
      <c r="C4147" s="8" t="s">
        <v>10</v>
      </c>
      <c r="D4147" s="9">
        <v>63.36</v>
      </c>
      <c r="E4147" s="8">
        <v>11</v>
      </c>
    </row>
    <row r="4148" s="3" customFormat="1" ht="18.75" spans="1:5">
      <c r="A4148" s="8" t="str">
        <f t="shared" si="73"/>
        <v>250020</v>
      </c>
      <c r="B4148" s="8" t="str">
        <f>"2561404013524"</f>
        <v>2561404013524</v>
      </c>
      <c r="C4148" s="8" t="s">
        <v>10</v>
      </c>
      <c r="D4148" s="9">
        <v>62.55</v>
      </c>
      <c r="E4148" s="8">
        <v>12</v>
      </c>
    </row>
    <row r="4149" s="3" customFormat="1" ht="18.75" spans="1:5">
      <c r="A4149" s="8" t="str">
        <f t="shared" si="73"/>
        <v>250020</v>
      </c>
      <c r="B4149" s="8" t="str">
        <f>"2561404013716"</f>
        <v>2561404013716</v>
      </c>
      <c r="C4149" s="8" t="s">
        <v>10</v>
      </c>
      <c r="D4149" s="9">
        <v>62.46</v>
      </c>
      <c r="E4149" s="8">
        <v>13</v>
      </c>
    </row>
    <row r="4150" s="3" customFormat="1" ht="18.75" spans="1:5">
      <c r="A4150" s="8" t="str">
        <f t="shared" si="73"/>
        <v>250020</v>
      </c>
      <c r="B4150" s="8" t="str">
        <f>"2561404013618"</f>
        <v>2561404013618</v>
      </c>
      <c r="C4150" s="8" t="s">
        <v>10</v>
      </c>
      <c r="D4150" s="9">
        <v>61.85</v>
      </c>
      <c r="E4150" s="8">
        <v>14</v>
      </c>
    </row>
    <row r="4151" s="3" customFormat="1" ht="18.75" spans="1:5">
      <c r="A4151" s="8" t="str">
        <f t="shared" si="73"/>
        <v>250020</v>
      </c>
      <c r="B4151" s="8" t="str">
        <f>"2561404013617"</f>
        <v>2561404013617</v>
      </c>
      <c r="C4151" s="8" t="s">
        <v>10</v>
      </c>
      <c r="D4151" s="9">
        <v>61.61</v>
      </c>
      <c r="E4151" s="8">
        <v>15</v>
      </c>
    </row>
    <row r="4152" s="3" customFormat="1" ht="18.75" spans="1:5">
      <c r="A4152" s="8" t="str">
        <f t="shared" si="73"/>
        <v>250020</v>
      </c>
      <c r="B4152" s="8" t="str">
        <f>"2561404013804"</f>
        <v>2561404013804</v>
      </c>
      <c r="C4152" s="8" t="s">
        <v>10</v>
      </c>
      <c r="D4152" s="9">
        <v>61.45</v>
      </c>
      <c r="E4152" s="8">
        <v>16</v>
      </c>
    </row>
    <row r="4153" s="3" customFormat="1" ht="18.75" spans="1:5">
      <c r="A4153" s="8" t="str">
        <f t="shared" si="73"/>
        <v>250020</v>
      </c>
      <c r="B4153" s="8" t="str">
        <f>"2561404013425"</f>
        <v>2561404013425</v>
      </c>
      <c r="C4153" s="8" t="s">
        <v>10</v>
      </c>
      <c r="D4153" s="9">
        <v>61.36</v>
      </c>
      <c r="E4153" s="8">
        <v>17</v>
      </c>
    </row>
    <row r="4154" s="3" customFormat="1" ht="18.75" spans="1:5">
      <c r="A4154" s="8" t="str">
        <f t="shared" si="73"/>
        <v>250020</v>
      </c>
      <c r="B4154" s="8" t="str">
        <f>"2561404013625"</f>
        <v>2561404013625</v>
      </c>
      <c r="C4154" s="8" t="s">
        <v>10</v>
      </c>
      <c r="D4154" s="9">
        <v>61.22</v>
      </c>
      <c r="E4154" s="8">
        <v>18</v>
      </c>
    </row>
    <row r="4155" s="3" customFormat="1" ht="18.75" spans="1:5">
      <c r="A4155" s="8" t="str">
        <f t="shared" si="73"/>
        <v>250020</v>
      </c>
      <c r="B4155" s="8" t="str">
        <f>"2561404013324"</f>
        <v>2561404013324</v>
      </c>
      <c r="C4155" s="8" t="s">
        <v>10</v>
      </c>
      <c r="D4155" s="9">
        <v>61.2</v>
      </c>
      <c r="E4155" s="8">
        <v>19</v>
      </c>
    </row>
    <row r="4156" s="3" customFormat="1" ht="18.75" spans="1:5">
      <c r="A4156" s="8" t="str">
        <f t="shared" si="73"/>
        <v>250020</v>
      </c>
      <c r="B4156" s="8" t="str">
        <f>"2561404013522"</f>
        <v>2561404013522</v>
      </c>
      <c r="C4156" s="8" t="s">
        <v>10</v>
      </c>
      <c r="D4156" s="9">
        <v>60.65</v>
      </c>
      <c r="E4156" s="8">
        <v>20</v>
      </c>
    </row>
    <row r="4157" s="3" customFormat="1" ht="18.75" spans="1:5">
      <c r="A4157" s="8" t="str">
        <f t="shared" si="73"/>
        <v>250020</v>
      </c>
      <c r="B4157" s="8" t="str">
        <f>"2561404013519"</f>
        <v>2561404013519</v>
      </c>
      <c r="C4157" s="8" t="s">
        <v>10</v>
      </c>
      <c r="D4157" s="9">
        <v>60.34</v>
      </c>
      <c r="E4157" s="8">
        <v>21</v>
      </c>
    </row>
    <row r="4158" s="3" customFormat="1" ht="18.75" spans="1:5">
      <c r="A4158" s="8" t="str">
        <f t="shared" si="73"/>
        <v>250020</v>
      </c>
      <c r="B4158" s="8" t="str">
        <f>"2561404013612"</f>
        <v>2561404013612</v>
      </c>
      <c r="C4158" s="8" t="s">
        <v>10</v>
      </c>
      <c r="D4158" s="9">
        <v>60.32</v>
      </c>
      <c r="E4158" s="8">
        <v>22</v>
      </c>
    </row>
    <row r="4159" s="3" customFormat="1" ht="18.75" spans="1:5">
      <c r="A4159" s="8" t="str">
        <f t="shared" si="73"/>
        <v>250020</v>
      </c>
      <c r="B4159" s="8" t="str">
        <f>"2561404013309"</f>
        <v>2561404013309</v>
      </c>
      <c r="C4159" s="8" t="s">
        <v>10</v>
      </c>
      <c r="D4159" s="9">
        <v>60.14</v>
      </c>
      <c r="E4159" s="8">
        <v>23</v>
      </c>
    </row>
    <row r="4160" s="3" customFormat="1" ht="18.75" spans="1:5">
      <c r="A4160" s="8" t="str">
        <f t="shared" si="73"/>
        <v>250020</v>
      </c>
      <c r="B4160" s="8" t="str">
        <f>"2561404013329"</f>
        <v>2561404013329</v>
      </c>
      <c r="C4160" s="8" t="s">
        <v>10</v>
      </c>
      <c r="D4160" s="9">
        <v>60.04</v>
      </c>
      <c r="E4160" s="8">
        <v>24</v>
      </c>
    </row>
    <row r="4161" s="3" customFormat="1" ht="18.75" spans="1:5">
      <c r="A4161" s="8" t="str">
        <f t="shared" si="73"/>
        <v>250020</v>
      </c>
      <c r="B4161" s="8" t="str">
        <f>"2561404013721"</f>
        <v>2561404013721</v>
      </c>
      <c r="C4161" s="8" t="s">
        <v>10</v>
      </c>
      <c r="D4161" s="9">
        <v>60.03</v>
      </c>
      <c r="E4161" s="8">
        <v>25</v>
      </c>
    </row>
    <row r="4162" s="3" customFormat="1" ht="18.75" spans="1:5">
      <c r="A4162" s="8" t="str">
        <f t="shared" si="73"/>
        <v>250020</v>
      </c>
      <c r="B4162" s="8" t="str">
        <f>"2561404013501"</f>
        <v>2561404013501</v>
      </c>
      <c r="C4162" s="8" t="s">
        <v>10</v>
      </c>
      <c r="D4162" s="9">
        <v>59.67</v>
      </c>
      <c r="E4162" s="8">
        <v>26</v>
      </c>
    </row>
    <row r="4163" s="3" customFormat="1" ht="18.75" spans="1:5">
      <c r="A4163" s="8" t="str">
        <f t="shared" si="73"/>
        <v>250020</v>
      </c>
      <c r="B4163" s="8" t="str">
        <f>"2561404013402"</f>
        <v>2561404013402</v>
      </c>
      <c r="C4163" s="8" t="s">
        <v>10</v>
      </c>
      <c r="D4163" s="9">
        <v>59.59</v>
      </c>
      <c r="E4163" s="8">
        <v>27</v>
      </c>
    </row>
    <row r="4164" s="3" customFormat="1" ht="18.75" spans="1:5">
      <c r="A4164" s="8" t="str">
        <f t="shared" si="73"/>
        <v>250020</v>
      </c>
      <c r="B4164" s="8" t="str">
        <f>"2561404013511"</f>
        <v>2561404013511</v>
      </c>
      <c r="C4164" s="8" t="s">
        <v>10</v>
      </c>
      <c r="D4164" s="9">
        <v>59.48</v>
      </c>
      <c r="E4164" s="8">
        <v>28</v>
      </c>
    </row>
    <row r="4165" s="3" customFormat="1" ht="18.75" spans="1:5">
      <c r="A4165" s="8" t="str">
        <f t="shared" si="73"/>
        <v>250020</v>
      </c>
      <c r="B4165" s="8" t="str">
        <f>"2561404013622"</f>
        <v>2561404013622</v>
      </c>
      <c r="C4165" s="8" t="s">
        <v>10</v>
      </c>
      <c r="D4165" s="9">
        <v>59.36</v>
      </c>
      <c r="E4165" s="8">
        <v>29</v>
      </c>
    </row>
    <row r="4166" s="3" customFormat="1" ht="18.75" spans="1:5">
      <c r="A4166" s="8" t="str">
        <f t="shared" si="73"/>
        <v>250020</v>
      </c>
      <c r="B4166" s="8" t="str">
        <f>"2561404013409"</f>
        <v>2561404013409</v>
      </c>
      <c r="C4166" s="8" t="s">
        <v>10</v>
      </c>
      <c r="D4166" s="9">
        <v>59.35</v>
      </c>
      <c r="E4166" s="8">
        <v>30</v>
      </c>
    </row>
    <row r="4167" s="3" customFormat="1" ht="18.75" spans="1:5">
      <c r="A4167" s="8" t="str">
        <f t="shared" si="73"/>
        <v>250020</v>
      </c>
      <c r="B4167" s="8" t="str">
        <f>"2561404013420"</f>
        <v>2561404013420</v>
      </c>
      <c r="C4167" s="8" t="s">
        <v>10</v>
      </c>
      <c r="D4167" s="9">
        <v>58.62</v>
      </c>
      <c r="E4167" s="8">
        <v>31</v>
      </c>
    </row>
    <row r="4168" s="3" customFormat="1" ht="18.75" spans="1:5">
      <c r="A4168" s="8" t="str">
        <f t="shared" si="73"/>
        <v>250020</v>
      </c>
      <c r="B4168" s="8" t="str">
        <f>"2561404013317"</f>
        <v>2561404013317</v>
      </c>
      <c r="C4168" s="8" t="s">
        <v>10</v>
      </c>
      <c r="D4168" s="9">
        <v>58.04</v>
      </c>
      <c r="E4168" s="8">
        <v>32</v>
      </c>
    </row>
    <row r="4169" s="3" customFormat="1" ht="18.75" spans="1:5">
      <c r="A4169" s="8" t="str">
        <f t="shared" si="73"/>
        <v>250020</v>
      </c>
      <c r="B4169" s="8" t="str">
        <f>"2561404013621"</f>
        <v>2561404013621</v>
      </c>
      <c r="C4169" s="8" t="s">
        <v>10</v>
      </c>
      <c r="D4169" s="9">
        <v>57.96</v>
      </c>
      <c r="E4169" s="8">
        <v>33</v>
      </c>
    </row>
    <row r="4170" s="3" customFormat="1" ht="18.75" spans="1:5">
      <c r="A4170" s="8" t="str">
        <f t="shared" si="73"/>
        <v>250020</v>
      </c>
      <c r="B4170" s="8" t="str">
        <f>"2561404013318"</f>
        <v>2561404013318</v>
      </c>
      <c r="C4170" s="8" t="s">
        <v>10</v>
      </c>
      <c r="D4170" s="9">
        <v>57.84</v>
      </c>
      <c r="E4170" s="8">
        <v>34</v>
      </c>
    </row>
    <row r="4171" s="3" customFormat="1" ht="18.75" spans="1:5">
      <c r="A4171" s="8" t="str">
        <f t="shared" si="73"/>
        <v>250020</v>
      </c>
      <c r="B4171" s="8" t="str">
        <f>"2561404013729"</f>
        <v>2561404013729</v>
      </c>
      <c r="C4171" s="8" t="s">
        <v>10</v>
      </c>
      <c r="D4171" s="9">
        <v>57.69</v>
      </c>
      <c r="E4171" s="8">
        <v>35</v>
      </c>
    </row>
    <row r="4172" s="3" customFormat="1" ht="18.75" spans="1:5">
      <c r="A4172" s="8" t="str">
        <f t="shared" si="73"/>
        <v>250020</v>
      </c>
      <c r="B4172" s="8" t="str">
        <f>"2561404013325"</f>
        <v>2561404013325</v>
      </c>
      <c r="C4172" s="8" t="s">
        <v>10</v>
      </c>
      <c r="D4172" s="9">
        <v>57.41</v>
      </c>
      <c r="E4172" s="8">
        <v>36</v>
      </c>
    </row>
    <row r="4173" s="3" customFormat="1" ht="18.75" spans="1:5">
      <c r="A4173" s="8" t="str">
        <f t="shared" si="73"/>
        <v>250020</v>
      </c>
      <c r="B4173" s="8" t="str">
        <f>"2561404013311"</f>
        <v>2561404013311</v>
      </c>
      <c r="C4173" s="8" t="s">
        <v>10</v>
      </c>
      <c r="D4173" s="9">
        <v>57.3</v>
      </c>
      <c r="E4173" s="8">
        <v>37</v>
      </c>
    </row>
    <row r="4174" s="3" customFormat="1" ht="18.75" spans="1:5">
      <c r="A4174" s="8" t="str">
        <f t="shared" si="73"/>
        <v>250020</v>
      </c>
      <c r="B4174" s="8" t="str">
        <f>"2561404013417"</f>
        <v>2561404013417</v>
      </c>
      <c r="C4174" s="8" t="s">
        <v>10</v>
      </c>
      <c r="D4174" s="9">
        <v>57.29</v>
      </c>
      <c r="E4174" s="8">
        <v>38</v>
      </c>
    </row>
    <row r="4175" s="3" customFormat="1" ht="18.75" spans="1:5">
      <c r="A4175" s="8" t="str">
        <f t="shared" si="73"/>
        <v>250020</v>
      </c>
      <c r="B4175" s="8" t="str">
        <f>"2561404013408"</f>
        <v>2561404013408</v>
      </c>
      <c r="C4175" s="8" t="s">
        <v>10</v>
      </c>
      <c r="D4175" s="9">
        <v>57.28</v>
      </c>
      <c r="E4175" s="8">
        <v>39</v>
      </c>
    </row>
    <row r="4176" s="3" customFormat="1" ht="18.75" spans="1:5">
      <c r="A4176" s="8" t="str">
        <f t="shared" si="73"/>
        <v>250020</v>
      </c>
      <c r="B4176" s="8" t="str">
        <f>"2561404013521"</f>
        <v>2561404013521</v>
      </c>
      <c r="C4176" s="8" t="s">
        <v>10</v>
      </c>
      <c r="D4176" s="9">
        <v>57</v>
      </c>
      <c r="E4176" s="8">
        <v>40</v>
      </c>
    </row>
    <row r="4177" s="3" customFormat="1" ht="18.75" spans="1:5">
      <c r="A4177" s="8" t="str">
        <f t="shared" si="73"/>
        <v>250020</v>
      </c>
      <c r="B4177" s="8" t="str">
        <f>"2561404013412"</f>
        <v>2561404013412</v>
      </c>
      <c r="C4177" s="8" t="s">
        <v>10</v>
      </c>
      <c r="D4177" s="9">
        <v>56.91</v>
      </c>
      <c r="E4177" s="8">
        <v>41</v>
      </c>
    </row>
    <row r="4178" s="3" customFormat="1" ht="18.75" spans="1:5">
      <c r="A4178" s="8" t="str">
        <f t="shared" si="73"/>
        <v>250020</v>
      </c>
      <c r="B4178" s="8" t="str">
        <f>"2561404013428"</f>
        <v>2561404013428</v>
      </c>
      <c r="C4178" s="8" t="s">
        <v>10</v>
      </c>
      <c r="D4178" s="9">
        <v>56.29</v>
      </c>
      <c r="E4178" s="8">
        <v>42</v>
      </c>
    </row>
    <row r="4179" s="3" customFormat="1" ht="18.75" spans="1:5">
      <c r="A4179" s="8" t="str">
        <f t="shared" si="73"/>
        <v>250020</v>
      </c>
      <c r="B4179" s="8" t="str">
        <f>"2561404013510"</f>
        <v>2561404013510</v>
      </c>
      <c r="C4179" s="8" t="s">
        <v>10</v>
      </c>
      <c r="D4179" s="9">
        <v>56.18</v>
      </c>
      <c r="E4179" s="8">
        <v>43</v>
      </c>
    </row>
    <row r="4180" s="3" customFormat="1" ht="18.75" spans="1:5">
      <c r="A4180" s="8" t="str">
        <f t="shared" si="73"/>
        <v>250020</v>
      </c>
      <c r="B4180" s="8" t="str">
        <f>"2561404013326"</f>
        <v>2561404013326</v>
      </c>
      <c r="C4180" s="8" t="s">
        <v>10</v>
      </c>
      <c r="D4180" s="9">
        <v>56.14</v>
      </c>
      <c r="E4180" s="8">
        <v>44</v>
      </c>
    </row>
    <row r="4181" s="3" customFormat="1" ht="18.75" spans="1:5">
      <c r="A4181" s="8" t="str">
        <f t="shared" si="73"/>
        <v>250020</v>
      </c>
      <c r="B4181" s="8" t="str">
        <f>"2561404013714"</f>
        <v>2561404013714</v>
      </c>
      <c r="C4181" s="8" t="s">
        <v>10</v>
      </c>
      <c r="D4181" s="9">
        <v>55.99</v>
      </c>
      <c r="E4181" s="8">
        <v>45</v>
      </c>
    </row>
    <row r="4182" s="3" customFormat="1" ht="18.75" spans="1:5">
      <c r="A4182" s="8" t="str">
        <f t="shared" si="73"/>
        <v>250020</v>
      </c>
      <c r="B4182" s="8" t="str">
        <f>"2561404013405"</f>
        <v>2561404013405</v>
      </c>
      <c r="C4182" s="8" t="s">
        <v>10</v>
      </c>
      <c r="D4182" s="9">
        <v>55.93</v>
      </c>
      <c r="E4182" s="8">
        <v>46</v>
      </c>
    </row>
    <row r="4183" s="3" customFormat="1" ht="18.75" spans="1:5">
      <c r="A4183" s="8" t="str">
        <f t="shared" si="73"/>
        <v>250020</v>
      </c>
      <c r="B4183" s="8" t="str">
        <f>"2561404013507"</f>
        <v>2561404013507</v>
      </c>
      <c r="C4183" s="8" t="s">
        <v>10</v>
      </c>
      <c r="D4183" s="9">
        <v>55.9</v>
      </c>
      <c r="E4183" s="8">
        <v>47</v>
      </c>
    </row>
    <row r="4184" s="3" customFormat="1" ht="18.75" spans="1:5">
      <c r="A4184" s="8" t="str">
        <f t="shared" si="73"/>
        <v>250020</v>
      </c>
      <c r="B4184" s="8" t="str">
        <f>"2561404013630"</f>
        <v>2561404013630</v>
      </c>
      <c r="C4184" s="8" t="s">
        <v>10</v>
      </c>
      <c r="D4184" s="9">
        <v>55.53</v>
      </c>
      <c r="E4184" s="8">
        <v>48</v>
      </c>
    </row>
    <row r="4185" s="3" customFormat="1" ht="18.75" spans="1:5">
      <c r="A4185" s="8" t="str">
        <f t="shared" si="73"/>
        <v>250020</v>
      </c>
      <c r="B4185" s="8" t="str">
        <f>"2561404013502"</f>
        <v>2561404013502</v>
      </c>
      <c r="C4185" s="8" t="s">
        <v>10</v>
      </c>
      <c r="D4185" s="9">
        <v>55.43</v>
      </c>
      <c r="E4185" s="8">
        <v>49</v>
      </c>
    </row>
    <row r="4186" s="3" customFormat="1" ht="18.75" spans="1:5">
      <c r="A4186" s="8" t="str">
        <f t="shared" si="73"/>
        <v>250020</v>
      </c>
      <c r="B4186" s="8" t="str">
        <f>"2561404013717"</f>
        <v>2561404013717</v>
      </c>
      <c r="C4186" s="8" t="s">
        <v>10</v>
      </c>
      <c r="D4186" s="9">
        <v>54.93</v>
      </c>
      <c r="E4186" s="8">
        <v>50</v>
      </c>
    </row>
    <row r="4187" s="3" customFormat="1" ht="18.75" spans="1:5">
      <c r="A4187" s="8" t="str">
        <f t="shared" si="73"/>
        <v>250020</v>
      </c>
      <c r="B4187" s="8" t="str">
        <f>"2561404013411"</f>
        <v>2561404013411</v>
      </c>
      <c r="C4187" s="8" t="s">
        <v>10</v>
      </c>
      <c r="D4187" s="9">
        <v>54.87</v>
      </c>
      <c r="E4187" s="8">
        <v>51</v>
      </c>
    </row>
    <row r="4188" s="3" customFormat="1" ht="18.75" spans="1:5">
      <c r="A4188" s="8" t="str">
        <f t="shared" si="73"/>
        <v>250020</v>
      </c>
      <c r="B4188" s="8" t="str">
        <f>"2561404013306"</f>
        <v>2561404013306</v>
      </c>
      <c r="C4188" s="8" t="s">
        <v>10</v>
      </c>
      <c r="D4188" s="9">
        <v>54.51</v>
      </c>
      <c r="E4188" s="8">
        <v>52</v>
      </c>
    </row>
    <row r="4189" s="3" customFormat="1" ht="18.75" spans="1:5">
      <c r="A4189" s="8" t="str">
        <f t="shared" si="73"/>
        <v>250020</v>
      </c>
      <c r="B4189" s="8" t="str">
        <f>"2561404013707"</f>
        <v>2561404013707</v>
      </c>
      <c r="C4189" s="8" t="s">
        <v>10</v>
      </c>
      <c r="D4189" s="9">
        <v>54.11</v>
      </c>
      <c r="E4189" s="8">
        <v>53</v>
      </c>
    </row>
    <row r="4190" s="3" customFormat="1" ht="18.75" spans="1:5">
      <c r="A4190" s="8" t="str">
        <f t="shared" si="73"/>
        <v>250020</v>
      </c>
      <c r="B4190" s="8" t="str">
        <f>"2561404013602"</f>
        <v>2561404013602</v>
      </c>
      <c r="C4190" s="8" t="s">
        <v>10</v>
      </c>
      <c r="D4190" s="9">
        <v>54.03</v>
      </c>
      <c r="E4190" s="8">
        <v>54</v>
      </c>
    </row>
    <row r="4191" s="3" customFormat="1" ht="18.75" spans="1:5">
      <c r="A4191" s="8" t="str">
        <f t="shared" si="73"/>
        <v>250020</v>
      </c>
      <c r="B4191" s="8" t="str">
        <f>"2561404013718"</f>
        <v>2561404013718</v>
      </c>
      <c r="C4191" s="8" t="s">
        <v>10</v>
      </c>
      <c r="D4191" s="9">
        <v>54</v>
      </c>
      <c r="E4191" s="8">
        <v>55</v>
      </c>
    </row>
    <row r="4192" s="3" customFormat="1" ht="18.75" spans="1:5">
      <c r="A4192" s="8" t="str">
        <f t="shared" si="73"/>
        <v>250020</v>
      </c>
      <c r="B4192" s="8" t="str">
        <f>"2561404013710"</f>
        <v>2561404013710</v>
      </c>
      <c r="C4192" s="8" t="s">
        <v>10</v>
      </c>
      <c r="D4192" s="9">
        <v>53.96</v>
      </c>
      <c r="E4192" s="8">
        <v>56</v>
      </c>
    </row>
    <row r="4193" s="3" customFormat="1" ht="18.75" spans="1:5">
      <c r="A4193" s="8" t="str">
        <f t="shared" si="73"/>
        <v>250020</v>
      </c>
      <c r="B4193" s="8" t="str">
        <f>"2561404013629"</f>
        <v>2561404013629</v>
      </c>
      <c r="C4193" s="8" t="s">
        <v>10</v>
      </c>
      <c r="D4193" s="9">
        <v>53.66</v>
      </c>
      <c r="E4193" s="8">
        <v>57</v>
      </c>
    </row>
    <row r="4194" s="3" customFormat="1" ht="18.75" spans="1:5">
      <c r="A4194" s="8" t="str">
        <f t="shared" si="73"/>
        <v>250020</v>
      </c>
      <c r="B4194" s="8" t="str">
        <f>"2561404013512"</f>
        <v>2561404013512</v>
      </c>
      <c r="C4194" s="8" t="s">
        <v>10</v>
      </c>
      <c r="D4194" s="9">
        <v>53.35</v>
      </c>
      <c r="E4194" s="8">
        <v>58</v>
      </c>
    </row>
    <row r="4195" s="3" customFormat="1" ht="18.75" spans="1:5">
      <c r="A4195" s="8" t="str">
        <f t="shared" si="73"/>
        <v>250020</v>
      </c>
      <c r="B4195" s="8" t="str">
        <f>"2561404013610"</f>
        <v>2561404013610</v>
      </c>
      <c r="C4195" s="8" t="s">
        <v>10</v>
      </c>
      <c r="D4195" s="9">
        <v>53.18</v>
      </c>
      <c r="E4195" s="8">
        <v>59</v>
      </c>
    </row>
    <row r="4196" s="3" customFormat="1" ht="18.75" spans="1:5">
      <c r="A4196" s="8" t="str">
        <f t="shared" si="73"/>
        <v>250020</v>
      </c>
      <c r="B4196" s="8" t="str">
        <f>"2561404013614"</f>
        <v>2561404013614</v>
      </c>
      <c r="C4196" s="8" t="s">
        <v>10</v>
      </c>
      <c r="D4196" s="9">
        <v>53.18</v>
      </c>
      <c r="E4196" s="8">
        <v>59</v>
      </c>
    </row>
    <row r="4197" s="3" customFormat="1" ht="18.75" spans="1:5">
      <c r="A4197" s="8" t="str">
        <f t="shared" si="73"/>
        <v>250020</v>
      </c>
      <c r="B4197" s="8" t="str">
        <f>"2561404013403"</f>
        <v>2561404013403</v>
      </c>
      <c r="C4197" s="8" t="s">
        <v>10</v>
      </c>
      <c r="D4197" s="9">
        <v>52.81</v>
      </c>
      <c r="E4197" s="8">
        <v>61</v>
      </c>
    </row>
    <row r="4198" s="3" customFormat="1" ht="18.75" spans="1:5">
      <c r="A4198" s="8" t="str">
        <f t="shared" si="73"/>
        <v>250020</v>
      </c>
      <c r="B4198" s="8" t="str">
        <f>"2561404013305"</f>
        <v>2561404013305</v>
      </c>
      <c r="C4198" s="8" t="s">
        <v>10</v>
      </c>
      <c r="D4198" s="9">
        <v>52.59</v>
      </c>
      <c r="E4198" s="8">
        <v>62</v>
      </c>
    </row>
    <row r="4199" s="3" customFormat="1" ht="18.75" spans="1:5">
      <c r="A4199" s="8" t="str">
        <f t="shared" si="73"/>
        <v>250020</v>
      </c>
      <c r="B4199" s="8" t="str">
        <f>"2561404013719"</f>
        <v>2561404013719</v>
      </c>
      <c r="C4199" s="8" t="s">
        <v>10</v>
      </c>
      <c r="D4199" s="9">
        <v>51.98</v>
      </c>
      <c r="E4199" s="8">
        <v>63</v>
      </c>
    </row>
    <row r="4200" s="3" customFormat="1" ht="18.75" spans="1:5">
      <c r="A4200" s="8" t="str">
        <f t="shared" si="73"/>
        <v>250020</v>
      </c>
      <c r="B4200" s="8" t="str">
        <f>"2561404013422"</f>
        <v>2561404013422</v>
      </c>
      <c r="C4200" s="8" t="s">
        <v>10</v>
      </c>
      <c r="D4200" s="9">
        <v>51.75</v>
      </c>
      <c r="E4200" s="8">
        <v>64</v>
      </c>
    </row>
    <row r="4201" s="3" customFormat="1" ht="18.75" spans="1:5">
      <c r="A4201" s="8" t="str">
        <f t="shared" ref="A4201:A4264" si="74">"250020"</f>
        <v>250020</v>
      </c>
      <c r="B4201" s="8" t="str">
        <f>"2561404013423"</f>
        <v>2561404013423</v>
      </c>
      <c r="C4201" s="8" t="s">
        <v>10</v>
      </c>
      <c r="D4201" s="9">
        <v>50.87</v>
      </c>
      <c r="E4201" s="8">
        <v>65</v>
      </c>
    </row>
    <row r="4202" s="3" customFormat="1" ht="18.75" spans="1:5">
      <c r="A4202" s="8" t="str">
        <f t="shared" si="74"/>
        <v>250020</v>
      </c>
      <c r="B4202" s="8" t="str">
        <f>"2561404013426"</f>
        <v>2561404013426</v>
      </c>
      <c r="C4202" s="8" t="s">
        <v>10</v>
      </c>
      <c r="D4202" s="9">
        <v>50.55</v>
      </c>
      <c r="E4202" s="8">
        <v>66</v>
      </c>
    </row>
    <row r="4203" s="3" customFormat="1" ht="18.75" spans="1:5">
      <c r="A4203" s="8" t="str">
        <f t="shared" si="74"/>
        <v>250020</v>
      </c>
      <c r="B4203" s="8" t="str">
        <f>"2561404013415"</f>
        <v>2561404013415</v>
      </c>
      <c r="C4203" s="8" t="s">
        <v>10</v>
      </c>
      <c r="D4203" s="9">
        <v>50.02</v>
      </c>
      <c r="E4203" s="8">
        <v>67</v>
      </c>
    </row>
    <row r="4204" s="3" customFormat="1" ht="18.75" spans="1:5">
      <c r="A4204" s="8" t="str">
        <f t="shared" si="74"/>
        <v>250020</v>
      </c>
      <c r="B4204" s="8" t="str">
        <f>"2561404013712"</f>
        <v>2561404013712</v>
      </c>
      <c r="C4204" s="8" t="s">
        <v>10</v>
      </c>
      <c r="D4204" s="9">
        <v>49.52</v>
      </c>
      <c r="E4204" s="8">
        <v>68</v>
      </c>
    </row>
    <row r="4205" s="3" customFormat="1" ht="18.75" spans="1:5">
      <c r="A4205" s="8" t="str">
        <f t="shared" si="74"/>
        <v>250020</v>
      </c>
      <c r="B4205" s="8" t="str">
        <f>"2561404013514"</f>
        <v>2561404013514</v>
      </c>
      <c r="C4205" s="8" t="s">
        <v>10</v>
      </c>
      <c r="D4205" s="9">
        <v>49.4</v>
      </c>
      <c r="E4205" s="8">
        <v>69</v>
      </c>
    </row>
    <row r="4206" s="3" customFormat="1" ht="18.75" spans="1:5">
      <c r="A4206" s="8" t="str">
        <f t="shared" si="74"/>
        <v>250020</v>
      </c>
      <c r="B4206" s="8" t="str">
        <f>"2561404013605"</f>
        <v>2561404013605</v>
      </c>
      <c r="C4206" s="8" t="s">
        <v>10</v>
      </c>
      <c r="D4206" s="9">
        <v>49.34</v>
      </c>
      <c r="E4206" s="8">
        <v>70</v>
      </c>
    </row>
    <row r="4207" s="3" customFormat="1" ht="18.75" spans="1:5">
      <c r="A4207" s="8" t="str">
        <f t="shared" si="74"/>
        <v>250020</v>
      </c>
      <c r="B4207" s="8" t="str">
        <f>"2561404013529"</f>
        <v>2561404013529</v>
      </c>
      <c r="C4207" s="8" t="s">
        <v>10</v>
      </c>
      <c r="D4207" s="9">
        <v>48.08</v>
      </c>
      <c r="E4207" s="8">
        <v>71</v>
      </c>
    </row>
    <row r="4208" s="3" customFormat="1" ht="18.75" spans="1:5">
      <c r="A4208" s="8" t="str">
        <f t="shared" si="74"/>
        <v>250020</v>
      </c>
      <c r="B4208" s="8" t="str">
        <f>"2561404013720"</f>
        <v>2561404013720</v>
      </c>
      <c r="C4208" s="8" t="s">
        <v>10</v>
      </c>
      <c r="D4208" s="9">
        <v>45.46</v>
      </c>
      <c r="E4208" s="8">
        <v>72</v>
      </c>
    </row>
    <row r="4209" s="3" customFormat="1" ht="18.75" spans="1:5">
      <c r="A4209" s="8" t="str">
        <f t="shared" si="74"/>
        <v>250020</v>
      </c>
      <c r="B4209" s="8" t="str">
        <f>"2561404013419"</f>
        <v>2561404013419</v>
      </c>
      <c r="C4209" s="8" t="s">
        <v>10</v>
      </c>
      <c r="D4209" s="9">
        <v>45.09</v>
      </c>
      <c r="E4209" s="8">
        <v>73</v>
      </c>
    </row>
    <row r="4210" s="3" customFormat="1" ht="18.75" spans="1:5">
      <c r="A4210" s="8" t="str">
        <f t="shared" si="74"/>
        <v>250020</v>
      </c>
      <c r="B4210" s="8" t="str">
        <f>"2561404013313"</f>
        <v>2561404013313</v>
      </c>
      <c r="C4210" s="8" t="s">
        <v>10</v>
      </c>
      <c r="D4210" s="9">
        <v>44.35</v>
      </c>
      <c r="E4210" s="8">
        <v>74</v>
      </c>
    </row>
    <row r="4211" s="3" customFormat="1" ht="18.75" spans="1:5">
      <c r="A4211" s="8" t="str">
        <f t="shared" si="74"/>
        <v>250020</v>
      </c>
      <c r="B4211" s="8" t="str">
        <f>"2561404013308"</f>
        <v>2561404013308</v>
      </c>
      <c r="C4211" s="8" t="s">
        <v>10</v>
      </c>
      <c r="D4211" s="9">
        <v>43.91</v>
      </c>
      <c r="E4211" s="8">
        <v>75</v>
      </c>
    </row>
    <row r="4212" s="3" customFormat="1" ht="18.75" spans="1:5">
      <c r="A4212" s="8" t="str">
        <f t="shared" si="74"/>
        <v>250020</v>
      </c>
      <c r="B4212" s="8" t="str">
        <f>"2561404013702"</f>
        <v>2561404013702</v>
      </c>
      <c r="C4212" s="8" t="s">
        <v>10</v>
      </c>
      <c r="D4212" s="9">
        <v>39.93</v>
      </c>
      <c r="E4212" s="8">
        <v>76</v>
      </c>
    </row>
    <row r="4213" s="3" customFormat="1" ht="18.75" spans="1:5">
      <c r="A4213" s="8" t="str">
        <f t="shared" si="74"/>
        <v>250020</v>
      </c>
      <c r="B4213" s="8" t="str">
        <f>"2561404013801"</f>
        <v>2561404013801</v>
      </c>
      <c r="C4213" s="8" t="s">
        <v>10</v>
      </c>
      <c r="D4213" s="9">
        <v>36.02</v>
      </c>
      <c r="E4213" s="8">
        <v>77</v>
      </c>
    </row>
    <row r="4214" s="3" customFormat="1" ht="18.75" spans="1:5">
      <c r="A4214" s="8" t="str">
        <f t="shared" si="74"/>
        <v>250020</v>
      </c>
      <c r="B4214" s="8" t="str">
        <f>"2561404013316"</f>
        <v>2561404013316</v>
      </c>
      <c r="C4214" s="8" t="s">
        <v>10</v>
      </c>
      <c r="D4214" s="9">
        <v>30.91</v>
      </c>
      <c r="E4214" s="8">
        <v>78</v>
      </c>
    </row>
    <row r="4215" s="3" customFormat="1" ht="18.75" spans="1:5">
      <c r="A4215" s="8" t="str">
        <f t="shared" si="74"/>
        <v>250020</v>
      </c>
      <c r="B4215" s="8" t="str">
        <f>"2561404013708"</f>
        <v>2561404013708</v>
      </c>
      <c r="C4215" s="8" t="s">
        <v>10</v>
      </c>
      <c r="D4215" s="9">
        <v>26.55</v>
      </c>
      <c r="E4215" s="8">
        <v>79</v>
      </c>
    </row>
    <row r="4216" s="3" customFormat="1" ht="18.75" spans="1:5">
      <c r="A4216" s="8" t="str">
        <f t="shared" si="74"/>
        <v>250020</v>
      </c>
      <c r="B4216" s="8" t="str">
        <f>"2561404013608"</f>
        <v>2561404013608</v>
      </c>
      <c r="C4216" s="8" t="s">
        <v>10</v>
      </c>
      <c r="D4216" s="9">
        <v>26</v>
      </c>
      <c r="E4216" s="8">
        <v>80</v>
      </c>
    </row>
    <row r="4217" s="3" customFormat="1" ht="18.75" spans="1:5">
      <c r="A4217" s="8" t="str">
        <f t="shared" si="74"/>
        <v>250020</v>
      </c>
      <c r="B4217" s="8" t="str">
        <f>"2561404013520"</f>
        <v>2561404013520</v>
      </c>
      <c r="C4217" s="8" t="s">
        <v>10</v>
      </c>
      <c r="D4217" s="9">
        <v>22.8</v>
      </c>
      <c r="E4217" s="8">
        <v>81</v>
      </c>
    </row>
    <row r="4218" s="3" customFormat="1" ht="18.75" spans="1:5">
      <c r="A4218" s="8" t="str">
        <f t="shared" si="74"/>
        <v>250020</v>
      </c>
      <c r="B4218" s="8" t="str">
        <f>"2561404013302"</f>
        <v>2561404013302</v>
      </c>
      <c r="C4218" s="8" t="s">
        <v>10</v>
      </c>
      <c r="D4218" s="9">
        <v>0</v>
      </c>
      <c r="E4218" s="8">
        <v>82</v>
      </c>
    </row>
    <row r="4219" s="3" customFormat="1" ht="18.75" spans="1:5">
      <c r="A4219" s="8" t="str">
        <f t="shared" si="74"/>
        <v>250020</v>
      </c>
      <c r="B4219" s="8" t="str">
        <f>"2561404013303"</f>
        <v>2561404013303</v>
      </c>
      <c r="C4219" s="8" t="s">
        <v>10</v>
      </c>
      <c r="D4219" s="9">
        <v>0</v>
      </c>
      <c r="E4219" s="8">
        <v>82</v>
      </c>
    </row>
    <row r="4220" s="3" customFormat="1" ht="18.75" spans="1:5">
      <c r="A4220" s="8" t="str">
        <f t="shared" si="74"/>
        <v>250020</v>
      </c>
      <c r="B4220" s="8" t="str">
        <f>"2561404013304"</f>
        <v>2561404013304</v>
      </c>
      <c r="C4220" s="8" t="s">
        <v>10</v>
      </c>
      <c r="D4220" s="9">
        <v>0</v>
      </c>
      <c r="E4220" s="8">
        <v>82</v>
      </c>
    </row>
    <row r="4221" s="3" customFormat="1" ht="18.75" spans="1:5">
      <c r="A4221" s="8" t="str">
        <f t="shared" si="74"/>
        <v>250020</v>
      </c>
      <c r="B4221" s="8" t="str">
        <f>"2561404013312"</f>
        <v>2561404013312</v>
      </c>
      <c r="C4221" s="8" t="s">
        <v>10</v>
      </c>
      <c r="D4221" s="9">
        <v>0</v>
      </c>
      <c r="E4221" s="8">
        <v>82</v>
      </c>
    </row>
    <row r="4222" s="3" customFormat="1" ht="18.75" spans="1:5">
      <c r="A4222" s="8" t="str">
        <f t="shared" si="74"/>
        <v>250020</v>
      </c>
      <c r="B4222" s="8" t="str">
        <f>"2561404013319"</f>
        <v>2561404013319</v>
      </c>
      <c r="C4222" s="8" t="s">
        <v>10</v>
      </c>
      <c r="D4222" s="9">
        <v>0</v>
      </c>
      <c r="E4222" s="8">
        <v>82</v>
      </c>
    </row>
    <row r="4223" s="3" customFormat="1" ht="18.75" spans="1:5">
      <c r="A4223" s="8" t="str">
        <f t="shared" si="74"/>
        <v>250020</v>
      </c>
      <c r="B4223" s="8" t="str">
        <f>"2561404013320"</f>
        <v>2561404013320</v>
      </c>
      <c r="C4223" s="8" t="s">
        <v>10</v>
      </c>
      <c r="D4223" s="9">
        <v>0</v>
      </c>
      <c r="E4223" s="8">
        <v>82</v>
      </c>
    </row>
    <row r="4224" s="3" customFormat="1" ht="18.75" spans="1:5">
      <c r="A4224" s="8" t="str">
        <f t="shared" si="74"/>
        <v>250020</v>
      </c>
      <c r="B4224" s="8" t="str">
        <f>"2561404013321"</f>
        <v>2561404013321</v>
      </c>
      <c r="C4224" s="8" t="s">
        <v>10</v>
      </c>
      <c r="D4224" s="9">
        <v>0</v>
      </c>
      <c r="E4224" s="8">
        <v>82</v>
      </c>
    </row>
    <row r="4225" s="3" customFormat="1" ht="18.75" spans="1:5">
      <c r="A4225" s="8" t="str">
        <f t="shared" si="74"/>
        <v>250020</v>
      </c>
      <c r="B4225" s="8" t="str">
        <f>"2561404013322"</f>
        <v>2561404013322</v>
      </c>
      <c r="C4225" s="8" t="s">
        <v>10</v>
      </c>
      <c r="D4225" s="9">
        <v>0</v>
      </c>
      <c r="E4225" s="8">
        <v>82</v>
      </c>
    </row>
    <row r="4226" s="3" customFormat="1" ht="18.75" spans="1:5">
      <c r="A4226" s="8" t="str">
        <f t="shared" si="74"/>
        <v>250020</v>
      </c>
      <c r="B4226" s="8" t="str">
        <f>"2561404013323"</f>
        <v>2561404013323</v>
      </c>
      <c r="C4226" s="8" t="s">
        <v>10</v>
      </c>
      <c r="D4226" s="9">
        <v>0</v>
      </c>
      <c r="E4226" s="8">
        <v>82</v>
      </c>
    </row>
    <row r="4227" s="3" customFormat="1" ht="18.75" spans="1:5">
      <c r="A4227" s="8" t="str">
        <f t="shared" si="74"/>
        <v>250020</v>
      </c>
      <c r="B4227" s="8" t="str">
        <f>"2561404013327"</f>
        <v>2561404013327</v>
      </c>
      <c r="C4227" s="8" t="s">
        <v>10</v>
      </c>
      <c r="D4227" s="9">
        <v>0</v>
      </c>
      <c r="E4227" s="8">
        <v>82</v>
      </c>
    </row>
    <row r="4228" s="3" customFormat="1" ht="18.75" spans="1:5">
      <c r="A4228" s="8" t="str">
        <f t="shared" si="74"/>
        <v>250020</v>
      </c>
      <c r="B4228" s="8" t="str">
        <f>"2561404013328"</f>
        <v>2561404013328</v>
      </c>
      <c r="C4228" s="8" t="s">
        <v>10</v>
      </c>
      <c r="D4228" s="9">
        <v>0</v>
      </c>
      <c r="E4228" s="8">
        <v>82</v>
      </c>
    </row>
    <row r="4229" s="3" customFormat="1" ht="18.75" spans="1:5">
      <c r="A4229" s="8" t="str">
        <f t="shared" si="74"/>
        <v>250020</v>
      </c>
      <c r="B4229" s="8" t="str">
        <f>"2561404013330"</f>
        <v>2561404013330</v>
      </c>
      <c r="C4229" s="8" t="s">
        <v>10</v>
      </c>
      <c r="D4229" s="9">
        <v>0</v>
      </c>
      <c r="E4229" s="8">
        <v>82</v>
      </c>
    </row>
    <row r="4230" s="3" customFormat="1" ht="18.75" spans="1:5">
      <c r="A4230" s="8" t="str">
        <f t="shared" si="74"/>
        <v>250020</v>
      </c>
      <c r="B4230" s="8" t="str">
        <f>"2561404013401"</f>
        <v>2561404013401</v>
      </c>
      <c r="C4230" s="8" t="s">
        <v>10</v>
      </c>
      <c r="D4230" s="9">
        <v>0</v>
      </c>
      <c r="E4230" s="8">
        <v>82</v>
      </c>
    </row>
    <row r="4231" s="3" customFormat="1" ht="18.75" spans="1:5">
      <c r="A4231" s="8" t="str">
        <f t="shared" si="74"/>
        <v>250020</v>
      </c>
      <c r="B4231" s="8" t="str">
        <f>"2561404013404"</f>
        <v>2561404013404</v>
      </c>
      <c r="C4231" s="8" t="s">
        <v>10</v>
      </c>
      <c r="D4231" s="9">
        <v>0</v>
      </c>
      <c r="E4231" s="8">
        <v>82</v>
      </c>
    </row>
    <row r="4232" s="3" customFormat="1" ht="18.75" spans="1:5">
      <c r="A4232" s="8" t="str">
        <f t="shared" si="74"/>
        <v>250020</v>
      </c>
      <c r="B4232" s="8" t="str">
        <f>"2561404013407"</f>
        <v>2561404013407</v>
      </c>
      <c r="C4232" s="8" t="s">
        <v>10</v>
      </c>
      <c r="D4232" s="9">
        <v>0</v>
      </c>
      <c r="E4232" s="8">
        <v>82</v>
      </c>
    </row>
    <row r="4233" s="3" customFormat="1" ht="18.75" spans="1:5">
      <c r="A4233" s="8" t="str">
        <f t="shared" si="74"/>
        <v>250020</v>
      </c>
      <c r="B4233" s="8" t="str">
        <f>"2561404013410"</f>
        <v>2561404013410</v>
      </c>
      <c r="C4233" s="8" t="s">
        <v>10</v>
      </c>
      <c r="D4233" s="9">
        <v>0</v>
      </c>
      <c r="E4233" s="8">
        <v>82</v>
      </c>
    </row>
    <row r="4234" s="3" customFormat="1" ht="18.75" spans="1:5">
      <c r="A4234" s="8" t="str">
        <f t="shared" si="74"/>
        <v>250020</v>
      </c>
      <c r="B4234" s="8" t="str">
        <f>"2561404013413"</f>
        <v>2561404013413</v>
      </c>
      <c r="C4234" s="8" t="s">
        <v>10</v>
      </c>
      <c r="D4234" s="9">
        <v>0</v>
      </c>
      <c r="E4234" s="8">
        <v>82</v>
      </c>
    </row>
    <row r="4235" s="3" customFormat="1" ht="18.75" spans="1:5">
      <c r="A4235" s="8" t="str">
        <f t="shared" si="74"/>
        <v>250020</v>
      </c>
      <c r="B4235" s="8" t="str">
        <f>"2561404013414"</f>
        <v>2561404013414</v>
      </c>
      <c r="C4235" s="8" t="s">
        <v>10</v>
      </c>
      <c r="D4235" s="9">
        <v>0</v>
      </c>
      <c r="E4235" s="8">
        <v>82</v>
      </c>
    </row>
    <row r="4236" s="3" customFormat="1" ht="18.75" spans="1:5">
      <c r="A4236" s="8" t="str">
        <f t="shared" si="74"/>
        <v>250020</v>
      </c>
      <c r="B4236" s="8" t="str">
        <f>"2561404013416"</f>
        <v>2561404013416</v>
      </c>
      <c r="C4236" s="8" t="s">
        <v>10</v>
      </c>
      <c r="D4236" s="9">
        <v>0</v>
      </c>
      <c r="E4236" s="8">
        <v>82</v>
      </c>
    </row>
    <row r="4237" s="3" customFormat="1" ht="18.75" spans="1:5">
      <c r="A4237" s="8" t="str">
        <f t="shared" si="74"/>
        <v>250020</v>
      </c>
      <c r="B4237" s="8" t="str">
        <f>"2561404013421"</f>
        <v>2561404013421</v>
      </c>
      <c r="C4237" s="8" t="s">
        <v>10</v>
      </c>
      <c r="D4237" s="9">
        <v>0</v>
      </c>
      <c r="E4237" s="8">
        <v>82</v>
      </c>
    </row>
    <row r="4238" s="3" customFormat="1" ht="18.75" spans="1:5">
      <c r="A4238" s="8" t="str">
        <f t="shared" si="74"/>
        <v>250020</v>
      </c>
      <c r="B4238" s="8" t="str">
        <f>"2561404013424"</f>
        <v>2561404013424</v>
      </c>
      <c r="C4238" s="8" t="s">
        <v>10</v>
      </c>
      <c r="D4238" s="9">
        <v>0</v>
      </c>
      <c r="E4238" s="8">
        <v>82</v>
      </c>
    </row>
    <row r="4239" s="3" customFormat="1" ht="18.75" spans="1:5">
      <c r="A4239" s="8" t="str">
        <f t="shared" si="74"/>
        <v>250020</v>
      </c>
      <c r="B4239" s="8" t="str">
        <f>"2561404013427"</f>
        <v>2561404013427</v>
      </c>
      <c r="C4239" s="8" t="s">
        <v>10</v>
      </c>
      <c r="D4239" s="9">
        <v>0</v>
      </c>
      <c r="E4239" s="8">
        <v>82</v>
      </c>
    </row>
    <row r="4240" s="3" customFormat="1" ht="18.75" spans="1:5">
      <c r="A4240" s="8" t="str">
        <f t="shared" si="74"/>
        <v>250020</v>
      </c>
      <c r="B4240" s="8" t="str">
        <f>"2561404013429"</f>
        <v>2561404013429</v>
      </c>
      <c r="C4240" s="8" t="s">
        <v>10</v>
      </c>
      <c r="D4240" s="9">
        <v>0</v>
      </c>
      <c r="E4240" s="8">
        <v>82</v>
      </c>
    </row>
    <row r="4241" s="3" customFormat="1" ht="18.75" spans="1:5">
      <c r="A4241" s="8" t="str">
        <f t="shared" si="74"/>
        <v>250020</v>
      </c>
      <c r="B4241" s="8" t="str">
        <f>"2561404013430"</f>
        <v>2561404013430</v>
      </c>
      <c r="C4241" s="8" t="s">
        <v>10</v>
      </c>
      <c r="D4241" s="9">
        <v>0</v>
      </c>
      <c r="E4241" s="8">
        <v>82</v>
      </c>
    </row>
    <row r="4242" s="3" customFormat="1" ht="18.75" spans="1:5">
      <c r="A4242" s="8" t="str">
        <f t="shared" si="74"/>
        <v>250020</v>
      </c>
      <c r="B4242" s="8" t="str">
        <f>"2561404013503"</f>
        <v>2561404013503</v>
      </c>
      <c r="C4242" s="8" t="s">
        <v>10</v>
      </c>
      <c r="D4242" s="9">
        <v>0</v>
      </c>
      <c r="E4242" s="8">
        <v>82</v>
      </c>
    </row>
    <row r="4243" s="3" customFormat="1" ht="18.75" spans="1:5">
      <c r="A4243" s="8" t="str">
        <f t="shared" si="74"/>
        <v>250020</v>
      </c>
      <c r="B4243" s="8" t="str">
        <f>"2561404013504"</f>
        <v>2561404013504</v>
      </c>
      <c r="C4243" s="8" t="s">
        <v>10</v>
      </c>
      <c r="D4243" s="9">
        <v>0</v>
      </c>
      <c r="E4243" s="8">
        <v>82</v>
      </c>
    </row>
    <row r="4244" s="3" customFormat="1" ht="18.75" spans="1:5">
      <c r="A4244" s="8" t="str">
        <f t="shared" si="74"/>
        <v>250020</v>
      </c>
      <c r="B4244" s="8" t="str">
        <f>"2561404013505"</f>
        <v>2561404013505</v>
      </c>
      <c r="C4244" s="8" t="s">
        <v>10</v>
      </c>
      <c r="D4244" s="9">
        <v>0</v>
      </c>
      <c r="E4244" s="8">
        <v>82</v>
      </c>
    </row>
    <row r="4245" s="3" customFormat="1" ht="18.75" spans="1:5">
      <c r="A4245" s="8" t="str">
        <f t="shared" si="74"/>
        <v>250020</v>
      </c>
      <c r="B4245" s="8" t="str">
        <f>"2561404013506"</f>
        <v>2561404013506</v>
      </c>
      <c r="C4245" s="8" t="s">
        <v>10</v>
      </c>
      <c r="D4245" s="9">
        <v>0</v>
      </c>
      <c r="E4245" s="8">
        <v>82</v>
      </c>
    </row>
    <row r="4246" s="3" customFormat="1" ht="18.75" spans="1:5">
      <c r="A4246" s="8" t="str">
        <f t="shared" si="74"/>
        <v>250020</v>
      </c>
      <c r="B4246" s="8" t="str">
        <f>"2561404013508"</f>
        <v>2561404013508</v>
      </c>
      <c r="C4246" s="8" t="s">
        <v>10</v>
      </c>
      <c r="D4246" s="9">
        <v>0</v>
      </c>
      <c r="E4246" s="8">
        <v>82</v>
      </c>
    </row>
    <row r="4247" s="3" customFormat="1" ht="18.75" spans="1:5">
      <c r="A4247" s="8" t="str">
        <f t="shared" si="74"/>
        <v>250020</v>
      </c>
      <c r="B4247" s="8" t="str">
        <f>"2561404013509"</f>
        <v>2561404013509</v>
      </c>
      <c r="C4247" s="8" t="s">
        <v>10</v>
      </c>
      <c r="D4247" s="9">
        <v>0</v>
      </c>
      <c r="E4247" s="8">
        <v>82</v>
      </c>
    </row>
    <row r="4248" s="3" customFormat="1" ht="18.75" spans="1:5">
      <c r="A4248" s="8" t="str">
        <f t="shared" si="74"/>
        <v>250020</v>
      </c>
      <c r="B4248" s="8" t="str">
        <f>"2561404013513"</f>
        <v>2561404013513</v>
      </c>
      <c r="C4248" s="8" t="s">
        <v>10</v>
      </c>
      <c r="D4248" s="9">
        <v>0</v>
      </c>
      <c r="E4248" s="8">
        <v>82</v>
      </c>
    </row>
    <row r="4249" s="3" customFormat="1" ht="18.75" spans="1:5">
      <c r="A4249" s="8" t="str">
        <f t="shared" si="74"/>
        <v>250020</v>
      </c>
      <c r="B4249" s="8" t="str">
        <f>"2561404013515"</f>
        <v>2561404013515</v>
      </c>
      <c r="C4249" s="8" t="s">
        <v>10</v>
      </c>
      <c r="D4249" s="9">
        <v>0</v>
      </c>
      <c r="E4249" s="8">
        <v>82</v>
      </c>
    </row>
    <row r="4250" s="3" customFormat="1" ht="18.75" spans="1:5">
      <c r="A4250" s="8" t="str">
        <f t="shared" si="74"/>
        <v>250020</v>
      </c>
      <c r="B4250" s="8" t="str">
        <f>"2561404013516"</f>
        <v>2561404013516</v>
      </c>
      <c r="C4250" s="8" t="s">
        <v>10</v>
      </c>
      <c r="D4250" s="9">
        <v>0</v>
      </c>
      <c r="E4250" s="8">
        <v>82</v>
      </c>
    </row>
    <row r="4251" s="3" customFormat="1" ht="18.75" spans="1:5">
      <c r="A4251" s="8" t="str">
        <f t="shared" si="74"/>
        <v>250020</v>
      </c>
      <c r="B4251" s="8" t="str">
        <f>"2561404013518"</f>
        <v>2561404013518</v>
      </c>
      <c r="C4251" s="8" t="s">
        <v>10</v>
      </c>
      <c r="D4251" s="9">
        <v>0</v>
      </c>
      <c r="E4251" s="8">
        <v>82</v>
      </c>
    </row>
    <row r="4252" s="3" customFormat="1" ht="18.75" spans="1:5">
      <c r="A4252" s="8" t="str">
        <f t="shared" si="74"/>
        <v>250020</v>
      </c>
      <c r="B4252" s="8" t="str">
        <f>"2561404013523"</f>
        <v>2561404013523</v>
      </c>
      <c r="C4252" s="8" t="s">
        <v>10</v>
      </c>
      <c r="D4252" s="9">
        <v>0</v>
      </c>
      <c r="E4252" s="8">
        <v>82</v>
      </c>
    </row>
    <row r="4253" s="3" customFormat="1" ht="18.75" spans="1:5">
      <c r="A4253" s="8" t="str">
        <f t="shared" si="74"/>
        <v>250020</v>
      </c>
      <c r="B4253" s="8" t="str">
        <f>"2561404013525"</f>
        <v>2561404013525</v>
      </c>
      <c r="C4253" s="8" t="s">
        <v>10</v>
      </c>
      <c r="D4253" s="9">
        <v>0</v>
      </c>
      <c r="E4253" s="8">
        <v>82</v>
      </c>
    </row>
    <row r="4254" s="3" customFormat="1" ht="18.75" spans="1:5">
      <c r="A4254" s="8" t="str">
        <f t="shared" si="74"/>
        <v>250020</v>
      </c>
      <c r="B4254" s="8" t="str">
        <f>"2561404013526"</f>
        <v>2561404013526</v>
      </c>
      <c r="C4254" s="8" t="s">
        <v>10</v>
      </c>
      <c r="D4254" s="9">
        <v>0</v>
      </c>
      <c r="E4254" s="8">
        <v>82</v>
      </c>
    </row>
    <row r="4255" s="3" customFormat="1" ht="18.75" spans="1:5">
      <c r="A4255" s="8" t="str">
        <f t="shared" si="74"/>
        <v>250020</v>
      </c>
      <c r="B4255" s="8" t="str">
        <f>"2561404013527"</f>
        <v>2561404013527</v>
      </c>
      <c r="C4255" s="8" t="s">
        <v>10</v>
      </c>
      <c r="D4255" s="9">
        <v>0</v>
      </c>
      <c r="E4255" s="8">
        <v>82</v>
      </c>
    </row>
    <row r="4256" s="3" customFormat="1" ht="18.75" spans="1:5">
      <c r="A4256" s="8" t="str">
        <f t="shared" si="74"/>
        <v>250020</v>
      </c>
      <c r="B4256" s="8" t="str">
        <f>"2561404013528"</f>
        <v>2561404013528</v>
      </c>
      <c r="C4256" s="8" t="s">
        <v>10</v>
      </c>
      <c r="D4256" s="9">
        <v>0</v>
      </c>
      <c r="E4256" s="8">
        <v>82</v>
      </c>
    </row>
    <row r="4257" s="3" customFormat="1" ht="18.75" spans="1:5">
      <c r="A4257" s="8" t="str">
        <f t="shared" si="74"/>
        <v>250020</v>
      </c>
      <c r="B4257" s="8" t="str">
        <f>"2561404013601"</f>
        <v>2561404013601</v>
      </c>
      <c r="C4257" s="8" t="s">
        <v>10</v>
      </c>
      <c r="D4257" s="9">
        <v>0</v>
      </c>
      <c r="E4257" s="8">
        <v>82</v>
      </c>
    </row>
    <row r="4258" s="3" customFormat="1" ht="18.75" spans="1:5">
      <c r="A4258" s="8" t="str">
        <f t="shared" si="74"/>
        <v>250020</v>
      </c>
      <c r="B4258" s="8" t="str">
        <f>"2561404013603"</f>
        <v>2561404013603</v>
      </c>
      <c r="C4258" s="8" t="s">
        <v>10</v>
      </c>
      <c r="D4258" s="9">
        <v>0</v>
      </c>
      <c r="E4258" s="8">
        <v>82</v>
      </c>
    </row>
    <row r="4259" s="3" customFormat="1" ht="18.75" spans="1:5">
      <c r="A4259" s="8" t="str">
        <f t="shared" si="74"/>
        <v>250020</v>
      </c>
      <c r="B4259" s="8" t="str">
        <f>"2561404013606"</f>
        <v>2561404013606</v>
      </c>
      <c r="C4259" s="8" t="s">
        <v>10</v>
      </c>
      <c r="D4259" s="9">
        <v>0</v>
      </c>
      <c r="E4259" s="8">
        <v>82</v>
      </c>
    </row>
    <row r="4260" s="3" customFormat="1" ht="18.75" spans="1:5">
      <c r="A4260" s="8" t="str">
        <f t="shared" si="74"/>
        <v>250020</v>
      </c>
      <c r="B4260" s="8" t="str">
        <f>"2561404013607"</f>
        <v>2561404013607</v>
      </c>
      <c r="C4260" s="8" t="s">
        <v>10</v>
      </c>
      <c r="D4260" s="9">
        <v>0</v>
      </c>
      <c r="E4260" s="8">
        <v>82</v>
      </c>
    </row>
    <row r="4261" s="3" customFormat="1" ht="18.75" spans="1:5">
      <c r="A4261" s="8" t="str">
        <f t="shared" si="74"/>
        <v>250020</v>
      </c>
      <c r="B4261" s="8" t="str">
        <f>"2561404013609"</f>
        <v>2561404013609</v>
      </c>
      <c r="C4261" s="8" t="s">
        <v>10</v>
      </c>
      <c r="D4261" s="9">
        <v>0</v>
      </c>
      <c r="E4261" s="8">
        <v>82</v>
      </c>
    </row>
    <row r="4262" s="3" customFormat="1" ht="18.75" spans="1:5">
      <c r="A4262" s="8" t="str">
        <f t="shared" si="74"/>
        <v>250020</v>
      </c>
      <c r="B4262" s="8" t="str">
        <f>"2561404013611"</f>
        <v>2561404013611</v>
      </c>
      <c r="C4262" s="8" t="s">
        <v>10</v>
      </c>
      <c r="D4262" s="9">
        <v>0</v>
      </c>
      <c r="E4262" s="8">
        <v>82</v>
      </c>
    </row>
    <row r="4263" s="3" customFormat="1" ht="18.75" spans="1:5">
      <c r="A4263" s="8" t="str">
        <f t="shared" si="74"/>
        <v>250020</v>
      </c>
      <c r="B4263" s="8" t="str">
        <f>"2561404013613"</f>
        <v>2561404013613</v>
      </c>
      <c r="C4263" s="8" t="s">
        <v>10</v>
      </c>
      <c r="D4263" s="9">
        <v>0</v>
      </c>
      <c r="E4263" s="8">
        <v>82</v>
      </c>
    </row>
    <row r="4264" s="3" customFormat="1" ht="18.75" spans="1:5">
      <c r="A4264" s="8" t="str">
        <f t="shared" si="74"/>
        <v>250020</v>
      </c>
      <c r="B4264" s="8" t="str">
        <f>"2561404013615"</f>
        <v>2561404013615</v>
      </c>
      <c r="C4264" s="8" t="s">
        <v>10</v>
      </c>
      <c r="D4264" s="9">
        <v>0</v>
      </c>
      <c r="E4264" s="8">
        <v>82</v>
      </c>
    </row>
    <row r="4265" s="3" customFormat="1" ht="18.75" spans="1:5">
      <c r="A4265" s="8" t="str">
        <f t="shared" ref="A4265:A4290" si="75">"250020"</f>
        <v>250020</v>
      </c>
      <c r="B4265" s="8" t="str">
        <f>"2561404013619"</f>
        <v>2561404013619</v>
      </c>
      <c r="C4265" s="8" t="s">
        <v>10</v>
      </c>
      <c r="D4265" s="9">
        <v>0</v>
      </c>
      <c r="E4265" s="8">
        <v>82</v>
      </c>
    </row>
    <row r="4266" s="3" customFormat="1" ht="18.75" spans="1:5">
      <c r="A4266" s="8" t="str">
        <f t="shared" si="75"/>
        <v>250020</v>
      </c>
      <c r="B4266" s="8" t="str">
        <f>"2561404013620"</f>
        <v>2561404013620</v>
      </c>
      <c r="C4266" s="8" t="s">
        <v>10</v>
      </c>
      <c r="D4266" s="9">
        <v>0</v>
      </c>
      <c r="E4266" s="8">
        <v>82</v>
      </c>
    </row>
    <row r="4267" s="3" customFormat="1" ht="18.75" spans="1:5">
      <c r="A4267" s="8" t="str">
        <f t="shared" si="75"/>
        <v>250020</v>
      </c>
      <c r="B4267" s="8" t="str">
        <f>"2561404013623"</f>
        <v>2561404013623</v>
      </c>
      <c r="C4267" s="8" t="s">
        <v>10</v>
      </c>
      <c r="D4267" s="9">
        <v>0</v>
      </c>
      <c r="E4267" s="8">
        <v>82</v>
      </c>
    </row>
    <row r="4268" s="3" customFormat="1" ht="18.75" spans="1:5">
      <c r="A4268" s="8" t="str">
        <f t="shared" si="75"/>
        <v>250020</v>
      </c>
      <c r="B4268" s="8" t="str">
        <f>"2561404013624"</f>
        <v>2561404013624</v>
      </c>
      <c r="C4268" s="8" t="s">
        <v>10</v>
      </c>
      <c r="D4268" s="9">
        <v>0</v>
      </c>
      <c r="E4268" s="8">
        <v>82</v>
      </c>
    </row>
    <row r="4269" s="3" customFormat="1" ht="18.75" spans="1:5">
      <c r="A4269" s="8" t="str">
        <f t="shared" si="75"/>
        <v>250020</v>
      </c>
      <c r="B4269" s="8" t="str">
        <f>"2561404013627"</f>
        <v>2561404013627</v>
      </c>
      <c r="C4269" s="8" t="s">
        <v>10</v>
      </c>
      <c r="D4269" s="9">
        <v>0</v>
      </c>
      <c r="E4269" s="8">
        <v>82</v>
      </c>
    </row>
    <row r="4270" s="3" customFormat="1" ht="18.75" spans="1:5">
      <c r="A4270" s="8" t="str">
        <f t="shared" si="75"/>
        <v>250020</v>
      </c>
      <c r="B4270" s="8" t="str">
        <f>"2561404013628"</f>
        <v>2561404013628</v>
      </c>
      <c r="C4270" s="8" t="s">
        <v>10</v>
      </c>
      <c r="D4270" s="9">
        <v>0</v>
      </c>
      <c r="E4270" s="8">
        <v>82</v>
      </c>
    </row>
    <row r="4271" s="3" customFormat="1" ht="18.75" spans="1:5">
      <c r="A4271" s="8" t="str">
        <f t="shared" si="75"/>
        <v>250020</v>
      </c>
      <c r="B4271" s="8" t="str">
        <f>"2561404013701"</f>
        <v>2561404013701</v>
      </c>
      <c r="C4271" s="8" t="s">
        <v>10</v>
      </c>
      <c r="D4271" s="9">
        <v>0</v>
      </c>
      <c r="E4271" s="8">
        <v>82</v>
      </c>
    </row>
    <row r="4272" s="3" customFormat="1" ht="18.75" spans="1:5">
      <c r="A4272" s="8" t="str">
        <f t="shared" si="75"/>
        <v>250020</v>
      </c>
      <c r="B4272" s="8" t="str">
        <f>"2561404013703"</f>
        <v>2561404013703</v>
      </c>
      <c r="C4272" s="8" t="s">
        <v>10</v>
      </c>
      <c r="D4272" s="9">
        <v>0</v>
      </c>
      <c r="E4272" s="8">
        <v>82</v>
      </c>
    </row>
    <row r="4273" s="3" customFormat="1" ht="18.75" spans="1:5">
      <c r="A4273" s="8" t="str">
        <f t="shared" si="75"/>
        <v>250020</v>
      </c>
      <c r="B4273" s="8" t="str">
        <f>"2561404013704"</f>
        <v>2561404013704</v>
      </c>
      <c r="C4273" s="8" t="s">
        <v>10</v>
      </c>
      <c r="D4273" s="9">
        <v>0</v>
      </c>
      <c r="E4273" s="8">
        <v>82</v>
      </c>
    </row>
    <row r="4274" s="3" customFormat="1" ht="18.75" spans="1:5">
      <c r="A4274" s="8" t="str">
        <f t="shared" si="75"/>
        <v>250020</v>
      </c>
      <c r="B4274" s="8" t="str">
        <f>"2561404013705"</f>
        <v>2561404013705</v>
      </c>
      <c r="C4274" s="8" t="s">
        <v>10</v>
      </c>
      <c r="D4274" s="9">
        <v>0</v>
      </c>
      <c r="E4274" s="8">
        <v>82</v>
      </c>
    </row>
    <row r="4275" s="3" customFormat="1" ht="18.75" spans="1:5">
      <c r="A4275" s="8" t="str">
        <f t="shared" si="75"/>
        <v>250020</v>
      </c>
      <c r="B4275" s="8" t="str">
        <f>"2561404013706"</f>
        <v>2561404013706</v>
      </c>
      <c r="C4275" s="8" t="s">
        <v>10</v>
      </c>
      <c r="D4275" s="9">
        <v>0</v>
      </c>
      <c r="E4275" s="8">
        <v>82</v>
      </c>
    </row>
    <row r="4276" s="3" customFormat="1" ht="18.75" spans="1:5">
      <c r="A4276" s="8" t="str">
        <f t="shared" si="75"/>
        <v>250020</v>
      </c>
      <c r="B4276" s="8" t="str">
        <f>"2561404013709"</f>
        <v>2561404013709</v>
      </c>
      <c r="C4276" s="8" t="s">
        <v>10</v>
      </c>
      <c r="D4276" s="9">
        <v>0</v>
      </c>
      <c r="E4276" s="8">
        <v>82</v>
      </c>
    </row>
    <row r="4277" s="3" customFormat="1" ht="18.75" spans="1:5">
      <c r="A4277" s="8" t="str">
        <f t="shared" si="75"/>
        <v>250020</v>
      </c>
      <c r="B4277" s="8" t="str">
        <f>"2561404013711"</f>
        <v>2561404013711</v>
      </c>
      <c r="C4277" s="8" t="s">
        <v>10</v>
      </c>
      <c r="D4277" s="9">
        <v>0</v>
      </c>
      <c r="E4277" s="8">
        <v>82</v>
      </c>
    </row>
    <row r="4278" s="3" customFormat="1" ht="18.75" spans="1:5">
      <c r="A4278" s="8" t="str">
        <f t="shared" si="75"/>
        <v>250020</v>
      </c>
      <c r="B4278" s="8" t="str">
        <f>"2561404013713"</f>
        <v>2561404013713</v>
      </c>
      <c r="C4278" s="8" t="s">
        <v>10</v>
      </c>
      <c r="D4278" s="9">
        <v>0</v>
      </c>
      <c r="E4278" s="8">
        <v>82</v>
      </c>
    </row>
    <row r="4279" s="3" customFormat="1" ht="18.75" spans="1:5">
      <c r="A4279" s="8" t="str">
        <f t="shared" si="75"/>
        <v>250020</v>
      </c>
      <c r="B4279" s="8" t="str">
        <f>"2561404013715"</f>
        <v>2561404013715</v>
      </c>
      <c r="C4279" s="8" t="s">
        <v>10</v>
      </c>
      <c r="D4279" s="9">
        <v>0</v>
      </c>
      <c r="E4279" s="8">
        <v>82</v>
      </c>
    </row>
    <row r="4280" s="3" customFormat="1" ht="18.75" spans="1:5">
      <c r="A4280" s="8" t="str">
        <f t="shared" si="75"/>
        <v>250020</v>
      </c>
      <c r="B4280" s="8" t="str">
        <f>"2561404013722"</f>
        <v>2561404013722</v>
      </c>
      <c r="C4280" s="8" t="s">
        <v>10</v>
      </c>
      <c r="D4280" s="9">
        <v>0</v>
      </c>
      <c r="E4280" s="8">
        <v>82</v>
      </c>
    </row>
    <row r="4281" s="3" customFormat="1" ht="18.75" spans="1:5">
      <c r="A4281" s="8" t="str">
        <f t="shared" si="75"/>
        <v>250020</v>
      </c>
      <c r="B4281" s="8" t="str">
        <f>"2561404013723"</f>
        <v>2561404013723</v>
      </c>
      <c r="C4281" s="8" t="s">
        <v>10</v>
      </c>
      <c r="D4281" s="9">
        <v>0</v>
      </c>
      <c r="E4281" s="8">
        <v>82</v>
      </c>
    </row>
    <row r="4282" s="3" customFormat="1" ht="18.75" spans="1:5">
      <c r="A4282" s="8" t="str">
        <f t="shared" si="75"/>
        <v>250020</v>
      </c>
      <c r="B4282" s="8" t="str">
        <f>"2561404013724"</f>
        <v>2561404013724</v>
      </c>
      <c r="C4282" s="8" t="s">
        <v>10</v>
      </c>
      <c r="D4282" s="9">
        <v>0</v>
      </c>
      <c r="E4282" s="8">
        <v>82</v>
      </c>
    </row>
    <row r="4283" s="3" customFormat="1" ht="18.75" spans="1:5">
      <c r="A4283" s="8" t="str">
        <f t="shared" si="75"/>
        <v>250020</v>
      </c>
      <c r="B4283" s="8" t="str">
        <f>"2561404013725"</f>
        <v>2561404013725</v>
      </c>
      <c r="C4283" s="8" t="s">
        <v>10</v>
      </c>
      <c r="D4283" s="9">
        <v>0</v>
      </c>
      <c r="E4283" s="8">
        <v>82</v>
      </c>
    </row>
    <row r="4284" s="3" customFormat="1" ht="18.75" spans="1:5">
      <c r="A4284" s="8" t="str">
        <f t="shared" si="75"/>
        <v>250020</v>
      </c>
      <c r="B4284" s="8" t="str">
        <f>"2561404013726"</f>
        <v>2561404013726</v>
      </c>
      <c r="C4284" s="8" t="s">
        <v>10</v>
      </c>
      <c r="D4284" s="9">
        <v>0</v>
      </c>
      <c r="E4284" s="8">
        <v>82</v>
      </c>
    </row>
    <row r="4285" s="3" customFormat="1" ht="18.75" spans="1:5">
      <c r="A4285" s="8" t="str">
        <f t="shared" si="75"/>
        <v>250020</v>
      </c>
      <c r="B4285" s="8" t="str">
        <f>"2561404013727"</f>
        <v>2561404013727</v>
      </c>
      <c r="C4285" s="8" t="s">
        <v>10</v>
      </c>
      <c r="D4285" s="9">
        <v>0</v>
      </c>
      <c r="E4285" s="8">
        <v>82</v>
      </c>
    </row>
    <row r="4286" s="3" customFormat="1" ht="18.75" spans="1:5">
      <c r="A4286" s="8" t="str">
        <f t="shared" si="75"/>
        <v>250020</v>
      </c>
      <c r="B4286" s="8" t="str">
        <f>"2561404013728"</f>
        <v>2561404013728</v>
      </c>
      <c r="C4286" s="8" t="s">
        <v>10</v>
      </c>
      <c r="D4286" s="9">
        <v>0</v>
      </c>
      <c r="E4286" s="8">
        <v>82</v>
      </c>
    </row>
    <row r="4287" s="3" customFormat="1" ht="18.75" spans="1:5">
      <c r="A4287" s="8" t="str">
        <f t="shared" si="75"/>
        <v>250020</v>
      </c>
      <c r="B4287" s="8" t="str">
        <f>"2561404013730"</f>
        <v>2561404013730</v>
      </c>
      <c r="C4287" s="8" t="s">
        <v>10</v>
      </c>
      <c r="D4287" s="9">
        <v>0</v>
      </c>
      <c r="E4287" s="8">
        <v>82</v>
      </c>
    </row>
    <row r="4288" s="3" customFormat="1" ht="18.75" spans="1:5">
      <c r="A4288" s="8" t="str">
        <f t="shared" si="75"/>
        <v>250020</v>
      </c>
      <c r="B4288" s="8" t="str">
        <f>"2561404013802"</f>
        <v>2561404013802</v>
      </c>
      <c r="C4288" s="8" t="s">
        <v>10</v>
      </c>
      <c r="D4288" s="9">
        <v>0</v>
      </c>
      <c r="E4288" s="8">
        <v>82</v>
      </c>
    </row>
    <row r="4289" s="3" customFormat="1" ht="18.75" spans="1:5">
      <c r="A4289" s="8" t="str">
        <f t="shared" si="75"/>
        <v>250020</v>
      </c>
      <c r="B4289" s="8" t="str">
        <f>"2561404013803"</f>
        <v>2561404013803</v>
      </c>
      <c r="C4289" s="8" t="s">
        <v>10</v>
      </c>
      <c r="D4289" s="9">
        <v>0</v>
      </c>
      <c r="E4289" s="8">
        <v>82</v>
      </c>
    </row>
    <row r="4290" s="3" customFormat="1" ht="18.75" spans="1:5">
      <c r="A4290" s="8" t="str">
        <f t="shared" si="75"/>
        <v>250020</v>
      </c>
      <c r="B4290" s="8" t="str">
        <f>"2561404013805"</f>
        <v>2561404013805</v>
      </c>
      <c r="C4290" s="8" t="s">
        <v>10</v>
      </c>
      <c r="D4290" s="9">
        <v>0</v>
      </c>
      <c r="E4290" s="8">
        <v>82</v>
      </c>
    </row>
    <row r="4291" s="3" customFormat="1" ht="18.75" spans="1:5">
      <c r="A4291" s="8" t="str">
        <f t="shared" ref="A4291:A4354" si="76">"250021"</f>
        <v>250021</v>
      </c>
      <c r="B4291" s="8" t="str">
        <f>"2561405010301"</f>
        <v>2561405010301</v>
      </c>
      <c r="C4291" s="8" t="s">
        <v>11</v>
      </c>
      <c r="D4291" s="9">
        <v>74.7</v>
      </c>
      <c r="E4291" s="8">
        <v>1</v>
      </c>
    </row>
    <row r="4292" s="3" customFormat="1" ht="18.75" spans="1:5">
      <c r="A4292" s="8" t="str">
        <f t="shared" si="76"/>
        <v>250021</v>
      </c>
      <c r="B4292" s="8" t="str">
        <f>"2561405010117"</f>
        <v>2561405010117</v>
      </c>
      <c r="C4292" s="8" t="s">
        <v>11</v>
      </c>
      <c r="D4292" s="9">
        <v>66.05</v>
      </c>
      <c r="E4292" s="8">
        <v>2</v>
      </c>
    </row>
    <row r="4293" s="3" customFormat="1" ht="18.75" spans="1:5">
      <c r="A4293" s="8" t="str">
        <f t="shared" si="76"/>
        <v>250021</v>
      </c>
      <c r="B4293" s="8" t="str">
        <f>"2561405010207"</f>
        <v>2561405010207</v>
      </c>
      <c r="C4293" s="8" t="s">
        <v>11</v>
      </c>
      <c r="D4293" s="9">
        <v>65.53</v>
      </c>
      <c r="E4293" s="8">
        <v>3</v>
      </c>
    </row>
    <row r="4294" s="3" customFormat="1" ht="18.75" spans="1:5">
      <c r="A4294" s="8" t="str">
        <f t="shared" si="76"/>
        <v>250021</v>
      </c>
      <c r="B4294" s="8" t="str">
        <f>"2561405010102"</f>
        <v>2561405010102</v>
      </c>
      <c r="C4294" s="8" t="s">
        <v>11</v>
      </c>
      <c r="D4294" s="9">
        <v>64.96</v>
      </c>
      <c r="E4294" s="8">
        <v>4</v>
      </c>
    </row>
    <row r="4295" s="3" customFormat="1" ht="18.75" spans="1:5">
      <c r="A4295" s="8" t="str">
        <f t="shared" si="76"/>
        <v>250021</v>
      </c>
      <c r="B4295" s="8" t="str">
        <f>"2561405010106"</f>
        <v>2561405010106</v>
      </c>
      <c r="C4295" s="8" t="s">
        <v>11</v>
      </c>
      <c r="D4295" s="9">
        <v>64.7</v>
      </c>
      <c r="E4295" s="8">
        <v>5</v>
      </c>
    </row>
    <row r="4296" s="3" customFormat="1" ht="18.75" spans="1:5">
      <c r="A4296" s="8" t="str">
        <f t="shared" si="76"/>
        <v>250021</v>
      </c>
      <c r="B4296" s="8" t="str">
        <f>"2561405010118"</f>
        <v>2561405010118</v>
      </c>
      <c r="C4296" s="8" t="s">
        <v>11</v>
      </c>
      <c r="D4296" s="9">
        <v>63.43</v>
      </c>
      <c r="E4296" s="8">
        <v>6</v>
      </c>
    </row>
    <row r="4297" s="3" customFormat="1" ht="18.75" spans="1:5">
      <c r="A4297" s="8" t="str">
        <f t="shared" si="76"/>
        <v>250021</v>
      </c>
      <c r="B4297" s="8" t="str">
        <f>"2561405010110"</f>
        <v>2561405010110</v>
      </c>
      <c r="C4297" s="8" t="s">
        <v>11</v>
      </c>
      <c r="D4297" s="9">
        <v>63.17</v>
      </c>
      <c r="E4297" s="8">
        <v>7</v>
      </c>
    </row>
    <row r="4298" s="3" customFormat="1" ht="18.75" spans="1:5">
      <c r="A4298" s="8" t="str">
        <f t="shared" si="76"/>
        <v>250021</v>
      </c>
      <c r="B4298" s="8" t="str">
        <f>"2561405010227"</f>
        <v>2561405010227</v>
      </c>
      <c r="C4298" s="8" t="s">
        <v>11</v>
      </c>
      <c r="D4298" s="9">
        <v>63.08</v>
      </c>
      <c r="E4298" s="8">
        <v>8</v>
      </c>
    </row>
    <row r="4299" s="3" customFormat="1" ht="18.75" spans="1:5">
      <c r="A4299" s="8" t="str">
        <f t="shared" si="76"/>
        <v>250021</v>
      </c>
      <c r="B4299" s="8" t="str">
        <f>"2561405010127"</f>
        <v>2561405010127</v>
      </c>
      <c r="C4299" s="8" t="s">
        <v>11</v>
      </c>
      <c r="D4299" s="9">
        <v>62.93</v>
      </c>
      <c r="E4299" s="8">
        <v>9</v>
      </c>
    </row>
    <row r="4300" s="3" customFormat="1" ht="18.75" spans="1:5">
      <c r="A4300" s="8" t="str">
        <f t="shared" si="76"/>
        <v>250021</v>
      </c>
      <c r="B4300" s="8" t="str">
        <f>"2561405010208"</f>
        <v>2561405010208</v>
      </c>
      <c r="C4300" s="8" t="s">
        <v>11</v>
      </c>
      <c r="D4300" s="9">
        <v>62.71</v>
      </c>
      <c r="E4300" s="8">
        <v>10</v>
      </c>
    </row>
    <row r="4301" s="3" customFormat="1" ht="18.75" spans="1:5">
      <c r="A4301" s="8" t="str">
        <f t="shared" si="76"/>
        <v>250021</v>
      </c>
      <c r="B4301" s="8" t="str">
        <f>"2561405010302"</f>
        <v>2561405010302</v>
      </c>
      <c r="C4301" s="8" t="s">
        <v>11</v>
      </c>
      <c r="D4301" s="9">
        <v>62.63</v>
      </c>
      <c r="E4301" s="8">
        <v>11</v>
      </c>
    </row>
    <row r="4302" s="3" customFormat="1" ht="18.75" spans="1:5">
      <c r="A4302" s="8" t="str">
        <f t="shared" si="76"/>
        <v>250021</v>
      </c>
      <c r="B4302" s="8" t="str">
        <f>"2561405010105"</f>
        <v>2561405010105</v>
      </c>
      <c r="C4302" s="8" t="s">
        <v>11</v>
      </c>
      <c r="D4302" s="9">
        <v>61.47</v>
      </c>
      <c r="E4302" s="8">
        <v>12</v>
      </c>
    </row>
    <row r="4303" s="3" customFormat="1" ht="18.75" spans="1:5">
      <c r="A4303" s="8" t="str">
        <f t="shared" si="76"/>
        <v>250021</v>
      </c>
      <c r="B4303" s="8" t="str">
        <f>"2561405010122"</f>
        <v>2561405010122</v>
      </c>
      <c r="C4303" s="8" t="s">
        <v>11</v>
      </c>
      <c r="D4303" s="9">
        <v>61.42</v>
      </c>
      <c r="E4303" s="8">
        <v>13</v>
      </c>
    </row>
    <row r="4304" s="3" customFormat="1" ht="18.75" spans="1:5">
      <c r="A4304" s="8" t="str">
        <f t="shared" si="76"/>
        <v>250021</v>
      </c>
      <c r="B4304" s="8" t="str">
        <f>"2561405010125"</f>
        <v>2561405010125</v>
      </c>
      <c r="C4304" s="8" t="s">
        <v>11</v>
      </c>
      <c r="D4304" s="9">
        <v>61.12</v>
      </c>
      <c r="E4304" s="8">
        <v>14</v>
      </c>
    </row>
    <row r="4305" s="3" customFormat="1" ht="18.75" spans="1:5">
      <c r="A4305" s="8" t="str">
        <f t="shared" si="76"/>
        <v>250021</v>
      </c>
      <c r="B4305" s="8" t="str">
        <f>"2561405010203"</f>
        <v>2561405010203</v>
      </c>
      <c r="C4305" s="8" t="s">
        <v>11</v>
      </c>
      <c r="D4305" s="9">
        <v>60.8</v>
      </c>
      <c r="E4305" s="8">
        <v>15</v>
      </c>
    </row>
    <row r="4306" s="3" customFormat="1" ht="18.75" spans="1:5">
      <c r="A4306" s="8" t="str">
        <f t="shared" si="76"/>
        <v>250021</v>
      </c>
      <c r="B4306" s="8" t="str">
        <f>"2561405010119"</f>
        <v>2561405010119</v>
      </c>
      <c r="C4306" s="8" t="s">
        <v>11</v>
      </c>
      <c r="D4306" s="9">
        <v>60.78</v>
      </c>
      <c r="E4306" s="8">
        <v>16</v>
      </c>
    </row>
    <row r="4307" s="3" customFormat="1" ht="18.75" spans="1:5">
      <c r="A4307" s="8" t="str">
        <f t="shared" si="76"/>
        <v>250021</v>
      </c>
      <c r="B4307" s="8" t="str">
        <f>"2561405010130"</f>
        <v>2561405010130</v>
      </c>
      <c r="C4307" s="8" t="s">
        <v>11</v>
      </c>
      <c r="D4307" s="9">
        <v>60.72</v>
      </c>
      <c r="E4307" s="8">
        <v>17</v>
      </c>
    </row>
    <row r="4308" s="3" customFormat="1" ht="18.75" spans="1:5">
      <c r="A4308" s="8" t="str">
        <f t="shared" si="76"/>
        <v>250021</v>
      </c>
      <c r="B4308" s="8" t="str">
        <f>"2561405010107"</f>
        <v>2561405010107</v>
      </c>
      <c r="C4308" s="8" t="s">
        <v>11</v>
      </c>
      <c r="D4308" s="9">
        <v>60.23</v>
      </c>
      <c r="E4308" s="8">
        <v>18</v>
      </c>
    </row>
    <row r="4309" s="3" customFormat="1" ht="18.75" spans="1:5">
      <c r="A4309" s="8" t="str">
        <f t="shared" si="76"/>
        <v>250021</v>
      </c>
      <c r="B4309" s="8" t="str">
        <f>"2561405010120"</f>
        <v>2561405010120</v>
      </c>
      <c r="C4309" s="8" t="s">
        <v>11</v>
      </c>
      <c r="D4309" s="9">
        <v>59.54</v>
      </c>
      <c r="E4309" s="8">
        <v>19</v>
      </c>
    </row>
    <row r="4310" s="3" customFormat="1" ht="18.75" spans="1:5">
      <c r="A4310" s="8" t="str">
        <f t="shared" si="76"/>
        <v>250021</v>
      </c>
      <c r="B4310" s="8" t="str">
        <f>"2561405010222"</f>
        <v>2561405010222</v>
      </c>
      <c r="C4310" s="8" t="s">
        <v>11</v>
      </c>
      <c r="D4310" s="9">
        <v>59.15</v>
      </c>
      <c r="E4310" s="8">
        <v>20</v>
      </c>
    </row>
    <row r="4311" s="3" customFormat="1" ht="18.75" spans="1:5">
      <c r="A4311" s="8" t="str">
        <f t="shared" si="76"/>
        <v>250021</v>
      </c>
      <c r="B4311" s="8" t="str">
        <f>"2561405010116"</f>
        <v>2561405010116</v>
      </c>
      <c r="C4311" s="8" t="s">
        <v>11</v>
      </c>
      <c r="D4311" s="9">
        <v>59.14</v>
      </c>
      <c r="E4311" s="8">
        <v>21</v>
      </c>
    </row>
    <row r="4312" s="3" customFormat="1" ht="18.75" spans="1:5">
      <c r="A4312" s="8" t="str">
        <f t="shared" si="76"/>
        <v>250021</v>
      </c>
      <c r="B4312" s="8" t="str">
        <f>"2561405010214"</f>
        <v>2561405010214</v>
      </c>
      <c r="C4312" s="8" t="s">
        <v>11</v>
      </c>
      <c r="D4312" s="9">
        <v>58.4</v>
      </c>
      <c r="E4312" s="8">
        <v>22</v>
      </c>
    </row>
    <row r="4313" s="3" customFormat="1" ht="18.75" spans="1:5">
      <c r="A4313" s="8" t="str">
        <f t="shared" si="76"/>
        <v>250021</v>
      </c>
      <c r="B4313" s="8" t="str">
        <f>"2561405010113"</f>
        <v>2561405010113</v>
      </c>
      <c r="C4313" s="8" t="s">
        <v>11</v>
      </c>
      <c r="D4313" s="9">
        <v>58.23</v>
      </c>
      <c r="E4313" s="8">
        <v>23</v>
      </c>
    </row>
    <row r="4314" s="3" customFormat="1" ht="18.75" spans="1:5">
      <c r="A4314" s="8" t="str">
        <f t="shared" si="76"/>
        <v>250021</v>
      </c>
      <c r="B4314" s="8" t="str">
        <f>"2561405010115"</f>
        <v>2561405010115</v>
      </c>
      <c r="C4314" s="8" t="s">
        <v>11</v>
      </c>
      <c r="D4314" s="9">
        <v>57.17</v>
      </c>
      <c r="E4314" s="8">
        <v>24</v>
      </c>
    </row>
    <row r="4315" s="3" customFormat="1" ht="18.75" spans="1:5">
      <c r="A4315" s="8" t="str">
        <f t="shared" si="76"/>
        <v>250021</v>
      </c>
      <c r="B4315" s="8" t="str">
        <f>"2561405010212"</f>
        <v>2561405010212</v>
      </c>
      <c r="C4315" s="8" t="s">
        <v>11</v>
      </c>
      <c r="D4315" s="9">
        <v>57.04</v>
      </c>
      <c r="E4315" s="8">
        <v>25</v>
      </c>
    </row>
    <row r="4316" s="3" customFormat="1" ht="18.75" spans="1:5">
      <c r="A4316" s="8" t="str">
        <f t="shared" si="76"/>
        <v>250021</v>
      </c>
      <c r="B4316" s="8" t="str">
        <f>"2561405010218"</f>
        <v>2561405010218</v>
      </c>
      <c r="C4316" s="8" t="s">
        <v>11</v>
      </c>
      <c r="D4316" s="9">
        <v>56.77</v>
      </c>
      <c r="E4316" s="8">
        <v>26</v>
      </c>
    </row>
    <row r="4317" s="3" customFormat="1" ht="18.75" spans="1:5">
      <c r="A4317" s="8" t="str">
        <f t="shared" si="76"/>
        <v>250021</v>
      </c>
      <c r="B4317" s="8" t="str">
        <f>"2561405010126"</f>
        <v>2561405010126</v>
      </c>
      <c r="C4317" s="8" t="s">
        <v>11</v>
      </c>
      <c r="D4317" s="9">
        <v>56.26</v>
      </c>
      <c r="E4317" s="8">
        <v>27</v>
      </c>
    </row>
    <row r="4318" s="3" customFormat="1" ht="18.75" spans="1:5">
      <c r="A4318" s="8" t="str">
        <f t="shared" si="76"/>
        <v>250021</v>
      </c>
      <c r="B4318" s="8" t="str">
        <f>"2561405010206"</f>
        <v>2561405010206</v>
      </c>
      <c r="C4318" s="8" t="s">
        <v>11</v>
      </c>
      <c r="D4318" s="9">
        <v>56.22</v>
      </c>
      <c r="E4318" s="8">
        <v>28</v>
      </c>
    </row>
    <row r="4319" s="3" customFormat="1" ht="18.75" spans="1:5">
      <c r="A4319" s="8" t="str">
        <f t="shared" si="76"/>
        <v>250021</v>
      </c>
      <c r="B4319" s="8" t="str">
        <f>"2561405010204"</f>
        <v>2561405010204</v>
      </c>
      <c r="C4319" s="8" t="s">
        <v>11</v>
      </c>
      <c r="D4319" s="9">
        <v>56.19</v>
      </c>
      <c r="E4319" s="8">
        <v>29</v>
      </c>
    </row>
    <row r="4320" s="3" customFormat="1" ht="18.75" spans="1:5">
      <c r="A4320" s="8" t="str">
        <f t="shared" si="76"/>
        <v>250021</v>
      </c>
      <c r="B4320" s="8" t="str">
        <f>"2561405010123"</f>
        <v>2561405010123</v>
      </c>
      <c r="C4320" s="8" t="s">
        <v>11</v>
      </c>
      <c r="D4320" s="9">
        <v>55.47</v>
      </c>
      <c r="E4320" s="8">
        <v>30</v>
      </c>
    </row>
    <row r="4321" s="3" customFormat="1" ht="18.75" spans="1:5">
      <c r="A4321" s="8" t="str">
        <f t="shared" si="76"/>
        <v>250021</v>
      </c>
      <c r="B4321" s="8" t="str">
        <f>"2561405010213"</f>
        <v>2561405010213</v>
      </c>
      <c r="C4321" s="8" t="s">
        <v>11</v>
      </c>
      <c r="D4321" s="9">
        <v>55.34</v>
      </c>
      <c r="E4321" s="8">
        <v>31</v>
      </c>
    </row>
    <row r="4322" s="3" customFormat="1" ht="18.75" spans="1:5">
      <c r="A4322" s="8" t="str">
        <f t="shared" si="76"/>
        <v>250021</v>
      </c>
      <c r="B4322" s="8" t="str">
        <f>"2561405010112"</f>
        <v>2561405010112</v>
      </c>
      <c r="C4322" s="8" t="s">
        <v>11</v>
      </c>
      <c r="D4322" s="9">
        <v>55.17</v>
      </c>
      <c r="E4322" s="8">
        <v>32</v>
      </c>
    </row>
    <row r="4323" s="3" customFormat="1" ht="18.75" spans="1:5">
      <c r="A4323" s="8" t="str">
        <f t="shared" si="76"/>
        <v>250021</v>
      </c>
      <c r="B4323" s="8" t="str">
        <f>"2561405010219"</f>
        <v>2561405010219</v>
      </c>
      <c r="C4323" s="8" t="s">
        <v>11</v>
      </c>
      <c r="D4323" s="9">
        <v>55.04</v>
      </c>
      <c r="E4323" s="8">
        <v>33</v>
      </c>
    </row>
    <row r="4324" s="3" customFormat="1" ht="18.75" spans="1:5">
      <c r="A4324" s="8" t="str">
        <f t="shared" si="76"/>
        <v>250021</v>
      </c>
      <c r="B4324" s="8" t="str">
        <f>"2561405010205"</f>
        <v>2561405010205</v>
      </c>
      <c r="C4324" s="8" t="s">
        <v>11</v>
      </c>
      <c r="D4324" s="9">
        <v>54.75</v>
      </c>
      <c r="E4324" s="8">
        <v>34</v>
      </c>
    </row>
    <row r="4325" s="3" customFormat="1" ht="18.75" spans="1:5">
      <c r="A4325" s="8" t="str">
        <f t="shared" si="76"/>
        <v>250021</v>
      </c>
      <c r="B4325" s="8" t="str">
        <f>"2561405010114"</f>
        <v>2561405010114</v>
      </c>
      <c r="C4325" s="8" t="s">
        <v>11</v>
      </c>
      <c r="D4325" s="9">
        <v>53.41</v>
      </c>
      <c r="E4325" s="8">
        <v>35</v>
      </c>
    </row>
    <row r="4326" s="3" customFormat="1" ht="18.75" spans="1:5">
      <c r="A4326" s="8" t="str">
        <f t="shared" si="76"/>
        <v>250021</v>
      </c>
      <c r="B4326" s="8" t="str">
        <f>"2561405010111"</f>
        <v>2561405010111</v>
      </c>
      <c r="C4326" s="8" t="s">
        <v>11</v>
      </c>
      <c r="D4326" s="9">
        <v>52.99</v>
      </c>
      <c r="E4326" s="8">
        <v>36</v>
      </c>
    </row>
    <row r="4327" s="3" customFormat="1" ht="18.75" spans="1:5">
      <c r="A4327" s="8" t="str">
        <f t="shared" si="76"/>
        <v>250021</v>
      </c>
      <c r="B4327" s="8" t="str">
        <f>"2561405010124"</f>
        <v>2561405010124</v>
      </c>
      <c r="C4327" s="8" t="s">
        <v>11</v>
      </c>
      <c r="D4327" s="9">
        <v>52.8</v>
      </c>
      <c r="E4327" s="8">
        <v>37</v>
      </c>
    </row>
    <row r="4328" s="3" customFormat="1" ht="18.75" spans="1:5">
      <c r="A4328" s="8" t="str">
        <f t="shared" si="76"/>
        <v>250021</v>
      </c>
      <c r="B4328" s="8" t="str">
        <f>"2561405010220"</f>
        <v>2561405010220</v>
      </c>
      <c r="C4328" s="8" t="s">
        <v>11</v>
      </c>
      <c r="D4328" s="9">
        <v>52.77</v>
      </c>
      <c r="E4328" s="8">
        <v>38</v>
      </c>
    </row>
    <row r="4329" s="3" customFormat="1" ht="18.75" spans="1:5">
      <c r="A4329" s="8" t="str">
        <f t="shared" si="76"/>
        <v>250021</v>
      </c>
      <c r="B4329" s="8" t="str">
        <f>"2561405010225"</f>
        <v>2561405010225</v>
      </c>
      <c r="C4329" s="8" t="s">
        <v>11</v>
      </c>
      <c r="D4329" s="9">
        <v>52.27</v>
      </c>
      <c r="E4329" s="8">
        <v>39</v>
      </c>
    </row>
    <row r="4330" s="3" customFormat="1" ht="18.75" spans="1:5">
      <c r="A4330" s="8" t="str">
        <f t="shared" si="76"/>
        <v>250021</v>
      </c>
      <c r="B4330" s="8" t="str">
        <f>"2561405010303"</f>
        <v>2561405010303</v>
      </c>
      <c r="C4330" s="8" t="s">
        <v>11</v>
      </c>
      <c r="D4330" s="9">
        <v>51.76</v>
      </c>
      <c r="E4330" s="8">
        <v>40</v>
      </c>
    </row>
    <row r="4331" s="3" customFormat="1" ht="18.75" spans="1:5">
      <c r="A4331" s="8" t="str">
        <f t="shared" si="76"/>
        <v>250021</v>
      </c>
      <c r="B4331" s="8" t="str">
        <f>"2561405010229"</f>
        <v>2561405010229</v>
      </c>
      <c r="C4331" s="8" t="s">
        <v>11</v>
      </c>
      <c r="D4331" s="9">
        <v>51.61</v>
      </c>
      <c r="E4331" s="8">
        <v>41</v>
      </c>
    </row>
    <row r="4332" s="3" customFormat="1" ht="18.75" spans="1:5">
      <c r="A4332" s="8" t="str">
        <f t="shared" si="76"/>
        <v>250021</v>
      </c>
      <c r="B4332" s="8" t="str">
        <f>"2561405010226"</f>
        <v>2561405010226</v>
      </c>
      <c r="C4332" s="8" t="s">
        <v>11</v>
      </c>
      <c r="D4332" s="9">
        <v>51.19</v>
      </c>
      <c r="E4332" s="8">
        <v>42</v>
      </c>
    </row>
    <row r="4333" s="3" customFormat="1" ht="18.75" spans="1:5">
      <c r="A4333" s="8" t="str">
        <f t="shared" si="76"/>
        <v>250021</v>
      </c>
      <c r="B4333" s="8" t="str">
        <f>"2561405010211"</f>
        <v>2561405010211</v>
      </c>
      <c r="C4333" s="8" t="s">
        <v>11</v>
      </c>
      <c r="D4333" s="9">
        <v>50.72</v>
      </c>
      <c r="E4333" s="8">
        <v>43</v>
      </c>
    </row>
    <row r="4334" s="3" customFormat="1" ht="18.75" spans="1:5">
      <c r="A4334" s="8" t="str">
        <f t="shared" si="76"/>
        <v>250021</v>
      </c>
      <c r="B4334" s="8" t="str">
        <f>"2561405010101"</f>
        <v>2561405010101</v>
      </c>
      <c r="C4334" s="8" t="s">
        <v>11</v>
      </c>
      <c r="D4334" s="9">
        <v>50.48</v>
      </c>
      <c r="E4334" s="8">
        <v>44</v>
      </c>
    </row>
    <row r="4335" s="3" customFormat="1" ht="18.75" spans="1:5">
      <c r="A4335" s="8" t="str">
        <f t="shared" si="76"/>
        <v>250021</v>
      </c>
      <c r="B4335" s="8" t="str">
        <f>"2561405010217"</f>
        <v>2561405010217</v>
      </c>
      <c r="C4335" s="8" t="s">
        <v>11</v>
      </c>
      <c r="D4335" s="9">
        <v>50.41</v>
      </c>
      <c r="E4335" s="8">
        <v>45</v>
      </c>
    </row>
    <row r="4336" s="3" customFormat="1" ht="18.75" spans="1:5">
      <c r="A4336" s="8" t="str">
        <f t="shared" si="76"/>
        <v>250021</v>
      </c>
      <c r="B4336" s="8" t="str">
        <f>"2561405010223"</f>
        <v>2561405010223</v>
      </c>
      <c r="C4336" s="8" t="s">
        <v>11</v>
      </c>
      <c r="D4336" s="9">
        <v>50.01</v>
      </c>
      <c r="E4336" s="8">
        <v>46</v>
      </c>
    </row>
    <row r="4337" s="3" customFormat="1" ht="18.75" spans="1:5">
      <c r="A4337" s="8" t="str">
        <f t="shared" si="76"/>
        <v>250021</v>
      </c>
      <c r="B4337" s="8" t="str">
        <f>"2561405010216"</f>
        <v>2561405010216</v>
      </c>
      <c r="C4337" s="8" t="s">
        <v>11</v>
      </c>
      <c r="D4337" s="9">
        <v>49.59</v>
      </c>
      <c r="E4337" s="8">
        <v>47</v>
      </c>
    </row>
    <row r="4338" s="3" customFormat="1" ht="18.75" spans="1:5">
      <c r="A4338" s="8" t="str">
        <f t="shared" si="76"/>
        <v>250021</v>
      </c>
      <c r="B4338" s="8" t="str">
        <f>"2561405010305"</f>
        <v>2561405010305</v>
      </c>
      <c r="C4338" s="8" t="s">
        <v>11</v>
      </c>
      <c r="D4338" s="9">
        <v>49.4</v>
      </c>
      <c r="E4338" s="8">
        <v>48</v>
      </c>
    </row>
    <row r="4339" s="3" customFormat="1" ht="18.75" spans="1:5">
      <c r="A4339" s="8" t="str">
        <f t="shared" si="76"/>
        <v>250021</v>
      </c>
      <c r="B4339" s="8" t="str">
        <f>"2561405010224"</f>
        <v>2561405010224</v>
      </c>
      <c r="C4339" s="8" t="s">
        <v>11</v>
      </c>
      <c r="D4339" s="9">
        <v>46.31</v>
      </c>
      <c r="E4339" s="8">
        <v>49</v>
      </c>
    </row>
    <row r="4340" s="3" customFormat="1" ht="18.75" spans="1:5">
      <c r="A4340" s="8" t="str">
        <f t="shared" si="76"/>
        <v>250021</v>
      </c>
      <c r="B4340" s="8" t="str">
        <f>"2561405010129"</f>
        <v>2561405010129</v>
      </c>
      <c r="C4340" s="8" t="s">
        <v>11</v>
      </c>
      <c r="D4340" s="9">
        <v>39.96</v>
      </c>
      <c r="E4340" s="8">
        <v>50</v>
      </c>
    </row>
    <row r="4341" s="3" customFormat="1" ht="18.75" spans="1:5">
      <c r="A4341" s="8" t="str">
        <f t="shared" si="76"/>
        <v>250021</v>
      </c>
      <c r="B4341" s="8" t="str">
        <f>"2561405010304"</f>
        <v>2561405010304</v>
      </c>
      <c r="C4341" s="8" t="s">
        <v>11</v>
      </c>
      <c r="D4341" s="9">
        <v>25.29</v>
      </c>
      <c r="E4341" s="8">
        <v>51</v>
      </c>
    </row>
    <row r="4342" s="3" customFormat="1" ht="18.75" spans="1:5">
      <c r="A4342" s="8" t="str">
        <f t="shared" si="76"/>
        <v>250021</v>
      </c>
      <c r="B4342" s="8" t="str">
        <f>"2561405010228"</f>
        <v>2561405010228</v>
      </c>
      <c r="C4342" s="8" t="s">
        <v>11</v>
      </c>
      <c r="D4342" s="9">
        <v>24.81</v>
      </c>
      <c r="E4342" s="8">
        <v>52</v>
      </c>
    </row>
    <row r="4343" s="3" customFormat="1" ht="18.75" spans="1:5">
      <c r="A4343" s="8" t="str">
        <f t="shared" si="76"/>
        <v>250021</v>
      </c>
      <c r="B4343" s="8" t="str">
        <f>"2561405010103"</f>
        <v>2561405010103</v>
      </c>
      <c r="C4343" s="8" t="s">
        <v>11</v>
      </c>
      <c r="D4343" s="9">
        <v>0</v>
      </c>
      <c r="E4343" s="8">
        <v>53</v>
      </c>
    </row>
    <row r="4344" s="3" customFormat="1" ht="18.75" spans="1:5">
      <c r="A4344" s="8" t="str">
        <f t="shared" si="76"/>
        <v>250021</v>
      </c>
      <c r="B4344" s="8" t="str">
        <f>"2561405010104"</f>
        <v>2561405010104</v>
      </c>
      <c r="C4344" s="8" t="s">
        <v>11</v>
      </c>
      <c r="D4344" s="9">
        <v>0</v>
      </c>
      <c r="E4344" s="8">
        <v>53</v>
      </c>
    </row>
    <row r="4345" s="3" customFormat="1" ht="18.75" spans="1:5">
      <c r="A4345" s="8" t="str">
        <f t="shared" si="76"/>
        <v>250021</v>
      </c>
      <c r="B4345" s="8" t="str">
        <f>"2561405010108"</f>
        <v>2561405010108</v>
      </c>
      <c r="C4345" s="8" t="s">
        <v>11</v>
      </c>
      <c r="D4345" s="9">
        <v>0</v>
      </c>
      <c r="E4345" s="8">
        <v>53</v>
      </c>
    </row>
    <row r="4346" s="3" customFormat="1" ht="18.75" spans="1:5">
      <c r="A4346" s="8" t="str">
        <f t="shared" si="76"/>
        <v>250021</v>
      </c>
      <c r="B4346" s="8" t="str">
        <f>"2561405010109"</f>
        <v>2561405010109</v>
      </c>
      <c r="C4346" s="8" t="s">
        <v>11</v>
      </c>
      <c r="D4346" s="9">
        <v>0</v>
      </c>
      <c r="E4346" s="8">
        <v>53</v>
      </c>
    </row>
    <row r="4347" s="3" customFormat="1" ht="18.75" spans="1:5">
      <c r="A4347" s="8" t="str">
        <f t="shared" si="76"/>
        <v>250021</v>
      </c>
      <c r="B4347" s="8" t="str">
        <f>"2561405010121"</f>
        <v>2561405010121</v>
      </c>
      <c r="C4347" s="8" t="s">
        <v>11</v>
      </c>
      <c r="D4347" s="9">
        <v>0</v>
      </c>
      <c r="E4347" s="8">
        <v>53</v>
      </c>
    </row>
    <row r="4348" s="3" customFormat="1" ht="18.75" spans="1:5">
      <c r="A4348" s="8" t="str">
        <f t="shared" si="76"/>
        <v>250021</v>
      </c>
      <c r="B4348" s="8" t="str">
        <f>"2561405010128"</f>
        <v>2561405010128</v>
      </c>
      <c r="C4348" s="8" t="s">
        <v>11</v>
      </c>
      <c r="D4348" s="9">
        <v>0</v>
      </c>
      <c r="E4348" s="8">
        <v>53</v>
      </c>
    </row>
    <row r="4349" s="3" customFormat="1" ht="18.75" spans="1:5">
      <c r="A4349" s="8" t="str">
        <f t="shared" si="76"/>
        <v>250021</v>
      </c>
      <c r="B4349" s="8" t="str">
        <f>"2561405010201"</f>
        <v>2561405010201</v>
      </c>
      <c r="C4349" s="8" t="s">
        <v>11</v>
      </c>
      <c r="D4349" s="9">
        <v>0</v>
      </c>
      <c r="E4349" s="8">
        <v>53</v>
      </c>
    </row>
    <row r="4350" s="3" customFormat="1" ht="18.75" spans="1:5">
      <c r="A4350" s="8" t="str">
        <f t="shared" si="76"/>
        <v>250021</v>
      </c>
      <c r="B4350" s="8" t="str">
        <f>"2561405010202"</f>
        <v>2561405010202</v>
      </c>
      <c r="C4350" s="8" t="s">
        <v>11</v>
      </c>
      <c r="D4350" s="9">
        <v>0</v>
      </c>
      <c r="E4350" s="8">
        <v>53</v>
      </c>
    </row>
    <row r="4351" s="3" customFormat="1" ht="18.75" spans="1:5">
      <c r="A4351" s="8" t="str">
        <f t="shared" si="76"/>
        <v>250021</v>
      </c>
      <c r="B4351" s="8" t="str">
        <f>"2561405010209"</f>
        <v>2561405010209</v>
      </c>
      <c r="C4351" s="8" t="s">
        <v>11</v>
      </c>
      <c r="D4351" s="9">
        <v>0</v>
      </c>
      <c r="E4351" s="8">
        <v>53</v>
      </c>
    </row>
    <row r="4352" s="3" customFormat="1" ht="18.75" spans="1:5">
      <c r="A4352" s="8" t="str">
        <f t="shared" si="76"/>
        <v>250021</v>
      </c>
      <c r="B4352" s="8" t="str">
        <f>"2561405010210"</f>
        <v>2561405010210</v>
      </c>
      <c r="C4352" s="8" t="s">
        <v>11</v>
      </c>
      <c r="D4352" s="9">
        <v>0</v>
      </c>
      <c r="E4352" s="8">
        <v>53</v>
      </c>
    </row>
    <row r="4353" s="3" customFormat="1" ht="18.75" spans="1:5">
      <c r="A4353" s="8" t="str">
        <f t="shared" si="76"/>
        <v>250021</v>
      </c>
      <c r="B4353" s="8" t="str">
        <f>"2561405010215"</f>
        <v>2561405010215</v>
      </c>
      <c r="C4353" s="8" t="s">
        <v>11</v>
      </c>
      <c r="D4353" s="9">
        <v>0</v>
      </c>
      <c r="E4353" s="8">
        <v>53</v>
      </c>
    </row>
    <row r="4354" s="3" customFormat="1" ht="18.75" spans="1:5">
      <c r="A4354" s="8" t="str">
        <f t="shared" si="76"/>
        <v>250021</v>
      </c>
      <c r="B4354" s="8" t="str">
        <f>"2561405010221"</f>
        <v>2561405010221</v>
      </c>
      <c r="C4354" s="8" t="s">
        <v>11</v>
      </c>
      <c r="D4354" s="9">
        <v>0</v>
      </c>
      <c r="E4354" s="8">
        <v>53</v>
      </c>
    </row>
    <row r="4355" s="3" customFormat="1" ht="18.75" spans="1:5">
      <c r="A4355" s="8" t="str">
        <f>"250021"</f>
        <v>250021</v>
      </c>
      <c r="B4355" s="8" t="str">
        <f>"2561405010230"</f>
        <v>2561405010230</v>
      </c>
      <c r="C4355" s="8" t="s">
        <v>11</v>
      </c>
      <c r="D4355" s="9">
        <v>0</v>
      </c>
      <c r="E4355" s="8">
        <v>53</v>
      </c>
    </row>
    <row r="4356" s="3" customFormat="1" ht="18.75" spans="1:5">
      <c r="A4356" s="8" t="str">
        <f>"250021"</f>
        <v>250021</v>
      </c>
      <c r="B4356" s="8" t="str">
        <f>"2561405010306"</f>
        <v>2561405010306</v>
      </c>
      <c r="C4356" s="8" t="s">
        <v>11</v>
      </c>
      <c r="D4356" s="9">
        <v>0</v>
      </c>
      <c r="E4356" s="8">
        <v>53</v>
      </c>
    </row>
    <row r="4357" s="3" customFormat="1" ht="18.75" spans="1:5">
      <c r="A4357" s="8" t="str">
        <f>"250021"</f>
        <v>250021</v>
      </c>
      <c r="B4357" s="8" t="str">
        <f>"2561405010307"</f>
        <v>2561405010307</v>
      </c>
      <c r="C4357" s="8" t="s">
        <v>11</v>
      </c>
      <c r="D4357" s="9">
        <v>0</v>
      </c>
      <c r="E4357" s="8">
        <v>53</v>
      </c>
    </row>
    <row r="4358" s="3" customFormat="1" ht="18.75" spans="1:5">
      <c r="A4358" s="8" t="str">
        <f t="shared" ref="A4358:A4421" si="77">"250022"</f>
        <v>250022</v>
      </c>
      <c r="B4358" s="8" t="str">
        <f>"2561405010319"</f>
        <v>2561405010319</v>
      </c>
      <c r="C4358" s="8" t="s">
        <v>11</v>
      </c>
      <c r="D4358" s="9">
        <v>67.9</v>
      </c>
      <c r="E4358" s="8">
        <v>1</v>
      </c>
    </row>
    <row r="4359" s="3" customFormat="1" ht="18.75" spans="1:5">
      <c r="A4359" s="8" t="str">
        <f t="shared" si="77"/>
        <v>250022</v>
      </c>
      <c r="B4359" s="8" t="str">
        <f>"2561405010517"</f>
        <v>2561405010517</v>
      </c>
      <c r="C4359" s="8" t="s">
        <v>11</v>
      </c>
      <c r="D4359" s="9">
        <v>64.88</v>
      </c>
      <c r="E4359" s="8">
        <v>2</v>
      </c>
    </row>
    <row r="4360" s="3" customFormat="1" ht="18.75" spans="1:5">
      <c r="A4360" s="8" t="str">
        <f t="shared" si="77"/>
        <v>250022</v>
      </c>
      <c r="B4360" s="8" t="str">
        <f>"2561405010428"</f>
        <v>2561405010428</v>
      </c>
      <c r="C4360" s="8" t="s">
        <v>11</v>
      </c>
      <c r="D4360" s="9">
        <v>64.59</v>
      </c>
      <c r="E4360" s="8">
        <v>3</v>
      </c>
    </row>
    <row r="4361" s="3" customFormat="1" ht="18.75" spans="1:5">
      <c r="A4361" s="8" t="str">
        <f t="shared" si="77"/>
        <v>250022</v>
      </c>
      <c r="B4361" s="8" t="str">
        <f>"2561405010506"</f>
        <v>2561405010506</v>
      </c>
      <c r="C4361" s="8" t="s">
        <v>11</v>
      </c>
      <c r="D4361" s="9">
        <v>62.55</v>
      </c>
      <c r="E4361" s="8">
        <v>4</v>
      </c>
    </row>
    <row r="4362" s="3" customFormat="1" ht="18.75" spans="1:5">
      <c r="A4362" s="8" t="str">
        <f t="shared" si="77"/>
        <v>250022</v>
      </c>
      <c r="B4362" s="8" t="str">
        <f>"2561405010316"</f>
        <v>2561405010316</v>
      </c>
      <c r="C4362" s="8" t="s">
        <v>11</v>
      </c>
      <c r="D4362" s="9">
        <v>62.38</v>
      </c>
      <c r="E4362" s="8">
        <v>5</v>
      </c>
    </row>
    <row r="4363" s="3" customFormat="1" ht="18.75" spans="1:5">
      <c r="A4363" s="8" t="str">
        <f t="shared" si="77"/>
        <v>250022</v>
      </c>
      <c r="B4363" s="8" t="str">
        <f>"2561405010502"</f>
        <v>2561405010502</v>
      </c>
      <c r="C4363" s="8" t="s">
        <v>11</v>
      </c>
      <c r="D4363" s="9">
        <v>62.29</v>
      </c>
      <c r="E4363" s="8">
        <v>6</v>
      </c>
    </row>
    <row r="4364" s="3" customFormat="1" ht="18.75" spans="1:5">
      <c r="A4364" s="8" t="str">
        <f t="shared" si="77"/>
        <v>250022</v>
      </c>
      <c r="B4364" s="8" t="str">
        <f>"2561405010516"</f>
        <v>2561405010516</v>
      </c>
      <c r="C4364" s="8" t="s">
        <v>11</v>
      </c>
      <c r="D4364" s="9">
        <v>61.97</v>
      </c>
      <c r="E4364" s="8">
        <v>7</v>
      </c>
    </row>
    <row r="4365" s="3" customFormat="1" ht="18.75" spans="1:5">
      <c r="A4365" s="8" t="str">
        <f t="shared" si="77"/>
        <v>250022</v>
      </c>
      <c r="B4365" s="8" t="str">
        <f>"2561405010310"</f>
        <v>2561405010310</v>
      </c>
      <c r="C4365" s="8" t="s">
        <v>11</v>
      </c>
      <c r="D4365" s="9">
        <v>61.47</v>
      </c>
      <c r="E4365" s="8">
        <v>8</v>
      </c>
    </row>
    <row r="4366" s="3" customFormat="1" ht="18.75" spans="1:5">
      <c r="A4366" s="8" t="str">
        <f t="shared" si="77"/>
        <v>250022</v>
      </c>
      <c r="B4366" s="8" t="str">
        <f>"2561405010514"</f>
        <v>2561405010514</v>
      </c>
      <c r="C4366" s="8" t="s">
        <v>11</v>
      </c>
      <c r="D4366" s="9">
        <v>61.2</v>
      </c>
      <c r="E4366" s="8">
        <v>9</v>
      </c>
    </row>
    <row r="4367" s="3" customFormat="1" ht="18.75" spans="1:5">
      <c r="A4367" s="8" t="str">
        <f t="shared" si="77"/>
        <v>250022</v>
      </c>
      <c r="B4367" s="8" t="str">
        <f>"2561405010311"</f>
        <v>2561405010311</v>
      </c>
      <c r="C4367" s="8" t="s">
        <v>11</v>
      </c>
      <c r="D4367" s="9">
        <v>60.94</v>
      </c>
      <c r="E4367" s="8">
        <v>10</v>
      </c>
    </row>
    <row r="4368" s="3" customFormat="1" ht="18.75" spans="1:5">
      <c r="A4368" s="8" t="str">
        <f t="shared" si="77"/>
        <v>250022</v>
      </c>
      <c r="B4368" s="8" t="str">
        <f>"2561405010507"</f>
        <v>2561405010507</v>
      </c>
      <c r="C4368" s="8" t="s">
        <v>11</v>
      </c>
      <c r="D4368" s="9">
        <v>60.82</v>
      </c>
      <c r="E4368" s="8">
        <v>11</v>
      </c>
    </row>
    <row r="4369" s="3" customFormat="1" ht="18.75" spans="1:5">
      <c r="A4369" s="8" t="str">
        <f t="shared" si="77"/>
        <v>250022</v>
      </c>
      <c r="B4369" s="8" t="str">
        <f>"2561405010329"</f>
        <v>2561405010329</v>
      </c>
      <c r="C4369" s="8" t="s">
        <v>11</v>
      </c>
      <c r="D4369" s="9">
        <v>60.76</v>
      </c>
      <c r="E4369" s="8">
        <v>12</v>
      </c>
    </row>
    <row r="4370" s="3" customFormat="1" ht="18.75" spans="1:5">
      <c r="A4370" s="8" t="str">
        <f t="shared" si="77"/>
        <v>250022</v>
      </c>
      <c r="B4370" s="8" t="str">
        <f>"2561405010425"</f>
        <v>2561405010425</v>
      </c>
      <c r="C4370" s="8" t="s">
        <v>11</v>
      </c>
      <c r="D4370" s="9">
        <v>60.17</v>
      </c>
      <c r="E4370" s="8">
        <v>13</v>
      </c>
    </row>
    <row r="4371" s="3" customFormat="1" ht="18.75" spans="1:5">
      <c r="A4371" s="8" t="str">
        <f t="shared" si="77"/>
        <v>250022</v>
      </c>
      <c r="B4371" s="8" t="str">
        <f>"2561405010317"</f>
        <v>2561405010317</v>
      </c>
      <c r="C4371" s="8" t="s">
        <v>11</v>
      </c>
      <c r="D4371" s="9">
        <v>59.65</v>
      </c>
      <c r="E4371" s="8">
        <v>14</v>
      </c>
    </row>
    <row r="4372" s="3" customFormat="1" ht="18.75" spans="1:5">
      <c r="A4372" s="8" t="str">
        <f t="shared" si="77"/>
        <v>250022</v>
      </c>
      <c r="B4372" s="8" t="str">
        <f>"2561405010417"</f>
        <v>2561405010417</v>
      </c>
      <c r="C4372" s="8" t="s">
        <v>11</v>
      </c>
      <c r="D4372" s="9">
        <v>59.44</v>
      </c>
      <c r="E4372" s="8">
        <v>15</v>
      </c>
    </row>
    <row r="4373" s="3" customFormat="1" ht="18.75" spans="1:5">
      <c r="A4373" s="8" t="str">
        <f t="shared" si="77"/>
        <v>250022</v>
      </c>
      <c r="B4373" s="8" t="str">
        <f>"2561405010527"</f>
        <v>2561405010527</v>
      </c>
      <c r="C4373" s="8" t="s">
        <v>11</v>
      </c>
      <c r="D4373" s="9">
        <v>59.17</v>
      </c>
      <c r="E4373" s="8">
        <v>16</v>
      </c>
    </row>
    <row r="4374" s="3" customFormat="1" ht="18.75" spans="1:5">
      <c r="A4374" s="8" t="str">
        <f t="shared" si="77"/>
        <v>250022</v>
      </c>
      <c r="B4374" s="8" t="str">
        <f>"2561405010410"</f>
        <v>2561405010410</v>
      </c>
      <c r="C4374" s="8" t="s">
        <v>11</v>
      </c>
      <c r="D4374" s="9">
        <v>59.15</v>
      </c>
      <c r="E4374" s="8">
        <v>17</v>
      </c>
    </row>
    <row r="4375" s="3" customFormat="1" ht="18.75" spans="1:5">
      <c r="A4375" s="8" t="str">
        <f t="shared" si="77"/>
        <v>250022</v>
      </c>
      <c r="B4375" s="8" t="str">
        <f>"2561405010411"</f>
        <v>2561405010411</v>
      </c>
      <c r="C4375" s="8" t="s">
        <v>11</v>
      </c>
      <c r="D4375" s="9">
        <v>58.87</v>
      </c>
      <c r="E4375" s="8">
        <v>18</v>
      </c>
    </row>
    <row r="4376" s="3" customFormat="1" ht="18.75" spans="1:5">
      <c r="A4376" s="8" t="str">
        <f t="shared" si="77"/>
        <v>250022</v>
      </c>
      <c r="B4376" s="8" t="str">
        <f>"2561405010420"</f>
        <v>2561405010420</v>
      </c>
      <c r="C4376" s="8" t="s">
        <v>11</v>
      </c>
      <c r="D4376" s="9">
        <v>58.62</v>
      </c>
      <c r="E4376" s="8">
        <v>19</v>
      </c>
    </row>
    <row r="4377" s="3" customFormat="1" ht="18.75" spans="1:5">
      <c r="A4377" s="8" t="str">
        <f t="shared" si="77"/>
        <v>250022</v>
      </c>
      <c r="B4377" s="8" t="str">
        <f>"2561405010327"</f>
        <v>2561405010327</v>
      </c>
      <c r="C4377" s="8" t="s">
        <v>11</v>
      </c>
      <c r="D4377" s="9">
        <v>58.12</v>
      </c>
      <c r="E4377" s="8">
        <v>20</v>
      </c>
    </row>
    <row r="4378" s="3" customFormat="1" ht="18.75" spans="1:5">
      <c r="A4378" s="8" t="str">
        <f t="shared" si="77"/>
        <v>250022</v>
      </c>
      <c r="B4378" s="8" t="str">
        <f>"2561405010403"</f>
        <v>2561405010403</v>
      </c>
      <c r="C4378" s="8" t="s">
        <v>11</v>
      </c>
      <c r="D4378" s="9">
        <v>57.33</v>
      </c>
      <c r="E4378" s="8">
        <v>21</v>
      </c>
    </row>
    <row r="4379" s="3" customFormat="1" ht="18.75" spans="1:5">
      <c r="A4379" s="8" t="str">
        <f t="shared" si="77"/>
        <v>250022</v>
      </c>
      <c r="B4379" s="8" t="str">
        <f>"2561405010309"</f>
        <v>2561405010309</v>
      </c>
      <c r="C4379" s="8" t="s">
        <v>11</v>
      </c>
      <c r="D4379" s="9">
        <v>57.29</v>
      </c>
      <c r="E4379" s="8">
        <v>22</v>
      </c>
    </row>
    <row r="4380" s="3" customFormat="1" ht="18.75" spans="1:5">
      <c r="A4380" s="8" t="str">
        <f t="shared" si="77"/>
        <v>250022</v>
      </c>
      <c r="B4380" s="8" t="str">
        <f>"2561405010423"</f>
        <v>2561405010423</v>
      </c>
      <c r="C4380" s="8" t="s">
        <v>11</v>
      </c>
      <c r="D4380" s="9">
        <v>57.07</v>
      </c>
      <c r="E4380" s="8">
        <v>23</v>
      </c>
    </row>
    <row r="4381" s="3" customFormat="1" ht="18.75" spans="1:5">
      <c r="A4381" s="8" t="str">
        <f t="shared" si="77"/>
        <v>250022</v>
      </c>
      <c r="B4381" s="8" t="str">
        <f>"2561405010415"</f>
        <v>2561405010415</v>
      </c>
      <c r="C4381" s="8" t="s">
        <v>11</v>
      </c>
      <c r="D4381" s="9">
        <v>56.69</v>
      </c>
      <c r="E4381" s="8">
        <v>24</v>
      </c>
    </row>
    <row r="4382" s="3" customFormat="1" ht="18.75" spans="1:5">
      <c r="A4382" s="8" t="str">
        <f t="shared" si="77"/>
        <v>250022</v>
      </c>
      <c r="B4382" s="8" t="str">
        <f>"2561405010405"</f>
        <v>2561405010405</v>
      </c>
      <c r="C4382" s="8" t="s">
        <v>11</v>
      </c>
      <c r="D4382" s="9">
        <v>56.24</v>
      </c>
      <c r="E4382" s="8">
        <v>25</v>
      </c>
    </row>
    <row r="4383" s="3" customFormat="1" ht="18.75" spans="1:5">
      <c r="A4383" s="8" t="str">
        <f t="shared" si="77"/>
        <v>250022</v>
      </c>
      <c r="B4383" s="8" t="str">
        <f>"2561405010504"</f>
        <v>2561405010504</v>
      </c>
      <c r="C4383" s="8" t="s">
        <v>11</v>
      </c>
      <c r="D4383" s="9">
        <v>56.23</v>
      </c>
      <c r="E4383" s="8">
        <v>26</v>
      </c>
    </row>
    <row r="4384" s="3" customFormat="1" ht="18.75" spans="1:5">
      <c r="A4384" s="8" t="str">
        <f t="shared" si="77"/>
        <v>250022</v>
      </c>
      <c r="B4384" s="8" t="str">
        <f>"2561405010325"</f>
        <v>2561405010325</v>
      </c>
      <c r="C4384" s="8" t="s">
        <v>11</v>
      </c>
      <c r="D4384" s="9">
        <v>56.09</v>
      </c>
      <c r="E4384" s="8">
        <v>27</v>
      </c>
    </row>
    <row r="4385" s="3" customFormat="1" ht="18.75" spans="1:5">
      <c r="A4385" s="8" t="str">
        <f t="shared" si="77"/>
        <v>250022</v>
      </c>
      <c r="B4385" s="8" t="str">
        <f>"2561405010430"</f>
        <v>2561405010430</v>
      </c>
      <c r="C4385" s="8" t="s">
        <v>11</v>
      </c>
      <c r="D4385" s="9">
        <v>55.73</v>
      </c>
      <c r="E4385" s="8">
        <v>28</v>
      </c>
    </row>
    <row r="4386" s="3" customFormat="1" ht="18.75" spans="1:5">
      <c r="A4386" s="8" t="str">
        <f t="shared" si="77"/>
        <v>250022</v>
      </c>
      <c r="B4386" s="8" t="str">
        <f>"2561405010509"</f>
        <v>2561405010509</v>
      </c>
      <c r="C4386" s="8" t="s">
        <v>11</v>
      </c>
      <c r="D4386" s="9">
        <v>55.65</v>
      </c>
      <c r="E4386" s="8">
        <v>29</v>
      </c>
    </row>
    <row r="4387" s="3" customFormat="1" ht="18.75" spans="1:5">
      <c r="A4387" s="8" t="str">
        <f t="shared" si="77"/>
        <v>250022</v>
      </c>
      <c r="B4387" s="8" t="str">
        <f>"2561405010525"</f>
        <v>2561405010525</v>
      </c>
      <c r="C4387" s="8" t="s">
        <v>11</v>
      </c>
      <c r="D4387" s="9">
        <v>55.58</v>
      </c>
      <c r="E4387" s="8">
        <v>30</v>
      </c>
    </row>
    <row r="4388" s="3" customFormat="1" ht="18.75" spans="1:5">
      <c r="A4388" s="8" t="str">
        <f t="shared" si="77"/>
        <v>250022</v>
      </c>
      <c r="B4388" s="8" t="str">
        <f>"2561405010421"</f>
        <v>2561405010421</v>
      </c>
      <c r="C4388" s="8" t="s">
        <v>11</v>
      </c>
      <c r="D4388" s="9">
        <v>54.61</v>
      </c>
      <c r="E4388" s="8">
        <v>31</v>
      </c>
    </row>
    <row r="4389" s="3" customFormat="1" ht="18.75" spans="1:5">
      <c r="A4389" s="8" t="str">
        <f t="shared" si="77"/>
        <v>250022</v>
      </c>
      <c r="B4389" s="8" t="str">
        <f>"2561405010404"</f>
        <v>2561405010404</v>
      </c>
      <c r="C4389" s="8" t="s">
        <v>11</v>
      </c>
      <c r="D4389" s="9">
        <v>54.24</v>
      </c>
      <c r="E4389" s="8">
        <v>32</v>
      </c>
    </row>
    <row r="4390" s="3" customFormat="1" ht="18.75" spans="1:5">
      <c r="A4390" s="8" t="str">
        <f t="shared" si="77"/>
        <v>250022</v>
      </c>
      <c r="B4390" s="8" t="str">
        <f>"2561405010530"</f>
        <v>2561405010530</v>
      </c>
      <c r="C4390" s="8" t="s">
        <v>11</v>
      </c>
      <c r="D4390" s="9">
        <v>53.96</v>
      </c>
      <c r="E4390" s="8">
        <v>33</v>
      </c>
    </row>
    <row r="4391" s="3" customFormat="1" ht="18.75" spans="1:5">
      <c r="A4391" s="8" t="str">
        <f t="shared" si="77"/>
        <v>250022</v>
      </c>
      <c r="B4391" s="8" t="str">
        <f>"2561405010318"</f>
        <v>2561405010318</v>
      </c>
      <c r="C4391" s="8" t="s">
        <v>11</v>
      </c>
      <c r="D4391" s="9">
        <v>53.95</v>
      </c>
      <c r="E4391" s="8">
        <v>34</v>
      </c>
    </row>
    <row r="4392" s="3" customFormat="1" ht="18.75" spans="1:5">
      <c r="A4392" s="8" t="str">
        <f t="shared" si="77"/>
        <v>250022</v>
      </c>
      <c r="B4392" s="8" t="str">
        <f>"2561405010526"</f>
        <v>2561405010526</v>
      </c>
      <c r="C4392" s="8" t="s">
        <v>11</v>
      </c>
      <c r="D4392" s="9">
        <v>53.67</v>
      </c>
      <c r="E4392" s="8">
        <v>35</v>
      </c>
    </row>
    <row r="4393" s="3" customFormat="1" ht="18.75" spans="1:5">
      <c r="A4393" s="8" t="str">
        <f t="shared" si="77"/>
        <v>250022</v>
      </c>
      <c r="B4393" s="8" t="str">
        <f>"2561405010321"</f>
        <v>2561405010321</v>
      </c>
      <c r="C4393" s="8" t="s">
        <v>11</v>
      </c>
      <c r="D4393" s="9">
        <v>52.82</v>
      </c>
      <c r="E4393" s="8">
        <v>36</v>
      </c>
    </row>
    <row r="4394" s="3" customFormat="1" ht="18.75" spans="1:5">
      <c r="A4394" s="8" t="str">
        <f t="shared" si="77"/>
        <v>250022</v>
      </c>
      <c r="B4394" s="8" t="str">
        <f>"2561405010501"</f>
        <v>2561405010501</v>
      </c>
      <c r="C4394" s="8" t="s">
        <v>11</v>
      </c>
      <c r="D4394" s="9">
        <v>52.5</v>
      </c>
      <c r="E4394" s="8">
        <v>37</v>
      </c>
    </row>
    <row r="4395" s="3" customFormat="1" ht="18.75" spans="1:5">
      <c r="A4395" s="8" t="str">
        <f t="shared" si="77"/>
        <v>250022</v>
      </c>
      <c r="B4395" s="8" t="str">
        <f>"2561405010523"</f>
        <v>2561405010523</v>
      </c>
      <c r="C4395" s="8" t="s">
        <v>11</v>
      </c>
      <c r="D4395" s="9">
        <v>52.33</v>
      </c>
      <c r="E4395" s="8">
        <v>38</v>
      </c>
    </row>
    <row r="4396" s="3" customFormat="1" ht="18.75" spans="1:5">
      <c r="A4396" s="8" t="str">
        <f t="shared" si="77"/>
        <v>250022</v>
      </c>
      <c r="B4396" s="8" t="str">
        <f>"2561405010513"</f>
        <v>2561405010513</v>
      </c>
      <c r="C4396" s="8" t="s">
        <v>11</v>
      </c>
      <c r="D4396" s="9">
        <v>52.24</v>
      </c>
      <c r="E4396" s="8">
        <v>39</v>
      </c>
    </row>
    <row r="4397" s="3" customFormat="1" ht="18.75" spans="1:5">
      <c r="A4397" s="8" t="str">
        <f t="shared" si="77"/>
        <v>250022</v>
      </c>
      <c r="B4397" s="8" t="str">
        <f>"2561405010518"</f>
        <v>2561405010518</v>
      </c>
      <c r="C4397" s="8" t="s">
        <v>11</v>
      </c>
      <c r="D4397" s="9">
        <v>52.23</v>
      </c>
      <c r="E4397" s="8">
        <v>40</v>
      </c>
    </row>
    <row r="4398" s="3" customFormat="1" ht="18.75" spans="1:5">
      <c r="A4398" s="8" t="str">
        <f t="shared" si="77"/>
        <v>250022</v>
      </c>
      <c r="B4398" s="8" t="str">
        <f>"2561405010515"</f>
        <v>2561405010515</v>
      </c>
      <c r="C4398" s="8" t="s">
        <v>11</v>
      </c>
      <c r="D4398" s="9">
        <v>51.93</v>
      </c>
      <c r="E4398" s="8">
        <v>41</v>
      </c>
    </row>
    <row r="4399" s="3" customFormat="1" ht="18.75" spans="1:5">
      <c r="A4399" s="8" t="str">
        <f t="shared" si="77"/>
        <v>250022</v>
      </c>
      <c r="B4399" s="8" t="str">
        <f>"2561405010326"</f>
        <v>2561405010326</v>
      </c>
      <c r="C4399" s="8" t="s">
        <v>11</v>
      </c>
      <c r="D4399" s="9">
        <v>50.44</v>
      </c>
      <c r="E4399" s="8">
        <v>42</v>
      </c>
    </row>
    <row r="4400" s="3" customFormat="1" ht="18.75" spans="1:5">
      <c r="A4400" s="8" t="str">
        <f t="shared" si="77"/>
        <v>250022</v>
      </c>
      <c r="B4400" s="8" t="str">
        <f>"2561405010521"</f>
        <v>2561405010521</v>
      </c>
      <c r="C4400" s="8" t="s">
        <v>11</v>
      </c>
      <c r="D4400" s="9">
        <v>50.21</v>
      </c>
      <c r="E4400" s="8">
        <v>43</v>
      </c>
    </row>
    <row r="4401" s="3" customFormat="1" ht="18.75" spans="1:5">
      <c r="A4401" s="8" t="str">
        <f t="shared" si="77"/>
        <v>250022</v>
      </c>
      <c r="B4401" s="8" t="str">
        <f>"2561405010528"</f>
        <v>2561405010528</v>
      </c>
      <c r="C4401" s="8" t="s">
        <v>11</v>
      </c>
      <c r="D4401" s="9">
        <v>49.65</v>
      </c>
      <c r="E4401" s="8">
        <v>44</v>
      </c>
    </row>
    <row r="4402" s="3" customFormat="1" ht="18.75" spans="1:5">
      <c r="A4402" s="8" t="str">
        <f t="shared" si="77"/>
        <v>250022</v>
      </c>
      <c r="B4402" s="8" t="str">
        <f>"2561405010313"</f>
        <v>2561405010313</v>
      </c>
      <c r="C4402" s="8" t="s">
        <v>11</v>
      </c>
      <c r="D4402" s="9">
        <v>49.64</v>
      </c>
      <c r="E4402" s="8">
        <v>45</v>
      </c>
    </row>
    <row r="4403" s="3" customFormat="1" ht="18.75" spans="1:5">
      <c r="A4403" s="8" t="str">
        <f t="shared" si="77"/>
        <v>250022</v>
      </c>
      <c r="B4403" s="8" t="str">
        <f>"2561405010409"</f>
        <v>2561405010409</v>
      </c>
      <c r="C4403" s="8" t="s">
        <v>11</v>
      </c>
      <c r="D4403" s="9">
        <v>49.35</v>
      </c>
      <c r="E4403" s="8">
        <v>46</v>
      </c>
    </row>
    <row r="4404" s="3" customFormat="1" ht="18.75" spans="1:5">
      <c r="A4404" s="8" t="str">
        <f t="shared" si="77"/>
        <v>250022</v>
      </c>
      <c r="B4404" s="8" t="str">
        <f>"2561405010324"</f>
        <v>2561405010324</v>
      </c>
      <c r="C4404" s="8" t="s">
        <v>11</v>
      </c>
      <c r="D4404" s="9">
        <v>49.14</v>
      </c>
      <c r="E4404" s="8">
        <v>47</v>
      </c>
    </row>
    <row r="4405" s="3" customFormat="1" ht="18.75" spans="1:5">
      <c r="A4405" s="8" t="str">
        <f t="shared" si="77"/>
        <v>250022</v>
      </c>
      <c r="B4405" s="8" t="str">
        <f>"2561405010320"</f>
        <v>2561405010320</v>
      </c>
      <c r="C4405" s="8" t="s">
        <v>11</v>
      </c>
      <c r="D4405" s="9">
        <v>49.12</v>
      </c>
      <c r="E4405" s="8">
        <v>48</v>
      </c>
    </row>
    <row r="4406" s="3" customFormat="1" ht="18.75" spans="1:5">
      <c r="A4406" s="8" t="str">
        <f t="shared" si="77"/>
        <v>250022</v>
      </c>
      <c r="B4406" s="8" t="str">
        <f>"2561405010412"</f>
        <v>2561405010412</v>
      </c>
      <c r="C4406" s="8" t="s">
        <v>11</v>
      </c>
      <c r="D4406" s="9">
        <v>48.62</v>
      </c>
      <c r="E4406" s="8">
        <v>49</v>
      </c>
    </row>
    <row r="4407" s="3" customFormat="1" ht="18.75" spans="1:5">
      <c r="A4407" s="8" t="str">
        <f t="shared" si="77"/>
        <v>250022</v>
      </c>
      <c r="B4407" s="8" t="str">
        <f>"2561405010505"</f>
        <v>2561405010505</v>
      </c>
      <c r="C4407" s="8" t="s">
        <v>11</v>
      </c>
      <c r="D4407" s="9">
        <v>48.32</v>
      </c>
      <c r="E4407" s="8">
        <v>50</v>
      </c>
    </row>
    <row r="4408" s="3" customFormat="1" ht="18.75" spans="1:5">
      <c r="A4408" s="8" t="str">
        <f t="shared" si="77"/>
        <v>250022</v>
      </c>
      <c r="B4408" s="8" t="str">
        <f>"2561405010322"</f>
        <v>2561405010322</v>
      </c>
      <c r="C4408" s="8" t="s">
        <v>11</v>
      </c>
      <c r="D4408" s="9">
        <v>48.03</v>
      </c>
      <c r="E4408" s="8">
        <v>51</v>
      </c>
    </row>
    <row r="4409" s="3" customFormat="1" ht="18.75" spans="1:5">
      <c r="A4409" s="8" t="str">
        <f t="shared" si="77"/>
        <v>250022</v>
      </c>
      <c r="B4409" s="8" t="str">
        <f>"2561405010330"</f>
        <v>2561405010330</v>
      </c>
      <c r="C4409" s="8" t="s">
        <v>11</v>
      </c>
      <c r="D4409" s="9">
        <v>47.99</v>
      </c>
      <c r="E4409" s="8">
        <v>52</v>
      </c>
    </row>
    <row r="4410" s="3" customFormat="1" ht="18.75" spans="1:5">
      <c r="A4410" s="8" t="str">
        <f t="shared" si="77"/>
        <v>250022</v>
      </c>
      <c r="B4410" s="8" t="str">
        <f>"2561405010314"</f>
        <v>2561405010314</v>
      </c>
      <c r="C4410" s="8" t="s">
        <v>11</v>
      </c>
      <c r="D4410" s="9">
        <v>47.88</v>
      </c>
      <c r="E4410" s="8">
        <v>53</v>
      </c>
    </row>
    <row r="4411" s="3" customFormat="1" ht="18.75" spans="1:5">
      <c r="A4411" s="8" t="str">
        <f t="shared" si="77"/>
        <v>250022</v>
      </c>
      <c r="B4411" s="8" t="str">
        <f>"2561405010529"</f>
        <v>2561405010529</v>
      </c>
      <c r="C4411" s="8" t="s">
        <v>11</v>
      </c>
      <c r="D4411" s="9">
        <v>47.72</v>
      </c>
      <c r="E4411" s="8">
        <v>54</v>
      </c>
    </row>
    <row r="4412" s="3" customFormat="1" ht="18.75" spans="1:5">
      <c r="A4412" s="8" t="str">
        <f t="shared" si="77"/>
        <v>250022</v>
      </c>
      <c r="B4412" s="8" t="str">
        <f>"2561405010512"</f>
        <v>2561405010512</v>
      </c>
      <c r="C4412" s="8" t="s">
        <v>11</v>
      </c>
      <c r="D4412" s="9">
        <v>46.83</v>
      </c>
      <c r="E4412" s="8">
        <v>55</v>
      </c>
    </row>
    <row r="4413" s="3" customFormat="1" ht="18.75" spans="1:5">
      <c r="A4413" s="8" t="str">
        <f t="shared" si="77"/>
        <v>250022</v>
      </c>
      <c r="B4413" s="8" t="str">
        <f>"2561405010416"</f>
        <v>2561405010416</v>
      </c>
      <c r="C4413" s="8" t="s">
        <v>11</v>
      </c>
      <c r="D4413" s="9">
        <v>46.4</v>
      </c>
      <c r="E4413" s="8">
        <v>56</v>
      </c>
    </row>
    <row r="4414" s="3" customFormat="1" ht="18.75" spans="1:5">
      <c r="A4414" s="8" t="str">
        <f t="shared" si="77"/>
        <v>250022</v>
      </c>
      <c r="B4414" s="8" t="str">
        <f>"2561405010312"</f>
        <v>2561405010312</v>
      </c>
      <c r="C4414" s="8" t="s">
        <v>11</v>
      </c>
      <c r="D4414" s="9">
        <v>35.08</v>
      </c>
      <c r="E4414" s="8">
        <v>57</v>
      </c>
    </row>
    <row r="4415" s="3" customFormat="1" ht="18.75" spans="1:5">
      <c r="A4415" s="8" t="str">
        <f t="shared" si="77"/>
        <v>250022</v>
      </c>
      <c r="B4415" s="8" t="str">
        <f>"2561405010511"</f>
        <v>2561405010511</v>
      </c>
      <c r="C4415" s="8" t="s">
        <v>11</v>
      </c>
      <c r="D4415" s="9">
        <v>26.82</v>
      </c>
      <c r="E4415" s="8">
        <v>58</v>
      </c>
    </row>
    <row r="4416" s="3" customFormat="1" ht="18.75" spans="1:5">
      <c r="A4416" s="8" t="str">
        <f t="shared" si="77"/>
        <v>250022</v>
      </c>
      <c r="B4416" s="8" t="str">
        <f>"2561405010308"</f>
        <v>2561405010308</v>
      </c>
      <c r="C4416" s="8" t="s">
        <v>11</v>
      </c>
      <c r="D4416" s="9">
        <v>0</v>
      </c>
      <c r="E4416" s="8">
        <v>59</v>
      </c>
    </row>
    <row r="4417" s="3" customFormat="1" ht="18.75" spans="1:5">
      <c r="A4417" s="8" t="str">
        <f t="shared" si="77"/>
        <v>250022</v>
      </c>
      <c r="B4417" s="8" t="str">
        <f>"2561405010315"</f>
        <v>2561405010315</v>
      </c>
      <c r="C4417" s="8" t="s">
        <v>11</v>
      </c>
      <c r="D4417" s="9">
        <v>0</v>
      </c>
      <c r="E4417" s="8">
        <v>59</v>
      </c>
    </row>
    <row r="4418" s="3" customFormat="1" ht="18.75" spans="1:5">
      <c r="A4418" s="8" t="str">
        <f t="shared" si="77"/>
        <v>250022</v>
      </c>
      <c r="B4418" s="8" t="str">
        <f>"2561405010323"</f>
        <v>2561405010323</v>
      </c>
      <c r="C4418" s="8" t="s">
        <v>11</v>
      </c>
      <c r="D4418" s="9">
        <v>0</v>
      </c>
      <c r="E4418" s="8">
        <v>59</v>
      </c>
    </row>
    <row r="4419" s="3" customFormat="1" ht="18.75" spans="1:5">
      <c r="A4419" s="8" t="str">
        <f t="shared" si="77"/>
        <v>250022</v>
      </c>
      <c r="B4419" s="8" t="str">
        <f>"2561405010328"</f>
        <v>2561405010328</v>
      </c>
      <c r="C4419" s="8" t="s">
        <v>11</v>
      </c>
      <c r="D4419" s="9">
        <v>0</v>
      </c>
      <c r="E4419" s="8">
        <v>59</v>
      </c>
    </row>
    <row r="4420" s="3" customFormat="1" ht="18.75" spans="1:5">
      <c r="A4420" s="8" t="str">
        <f t="shared" si="77"/>
        <v>250022</v>
      </c>
      <c r="B4420" s="8" t="str">
        <f>"2561405010401"</f>
        <v>2561405010401</v>
      </c>
      <c r="C4420" s="8" t="s">
        <v>11</v>
      </c>
      <c r="D4420" s="9">
        <v>0</v>
      </c>
      <c r="E4420" s="8">
        <v>59</v>
      </c>
    </row>
    <row r="4421" s="3" customFormat="1" ht="18.75" spans="1:5">
      <c r="A4421" s="8" t="str">
        <f t="shared" si="77"/>
        <v>250022</v>
      </c>
      <c r="B4421" s="8" t="str">
        <f>"2561405010402"</f>
        <v>2561405010402</v>
      </c>
      <c r="C4421" s="8" t="s">
        <v>11</v>
      </c>
      <c r="D4421" s="9">
        <v>0</v>
      </c>
      <c r="E4421" s="8">
        <v>59</v>
      </c>
    </row>
    <row r="4422" s="3" customFormat="1" ht="18.75" spans="1:5">
      <c r="A4422" s="8" t="str">
        <f t="shared" ref="A4422:A4440" si="78">"250022"</f>
        <v>250022</v>
      </c>
      <c r="B4422" s="8" t="str">
        <f>"2561405010406"</f>
        <v>2561405010406</v>
      </c>
      <c r="C4422" s="8" t="s">
        <v>11</v>
      </c>
      <c r="D4422" s="9">
        <v>0</v>
      </c>
      <c r="E4422" s="8">
        <v>59</v>
      </c>
    </row>
    <row r="4423" s="3" customFormat="1" ht="18.75" spans="1:5">
      <c r="A4423" s="8" t="str">
        <f t="shared" si="78"/>
        <v>250022</v>
      </c>
      <c r="B4423" s="8" t="str">
        <f>"2561405010407"</f>
        <v>2561405010407</v>
      </c>
      <c r="C4423" s="8" t="s">
        <v>11</v>
      </c>
      <c r="D4423" s="9">
        <v>0</v>
      </c>
      <c r="E4423" s="8">
        <v>59</v>
      </c>
    </row>
    <row r="4424" s="3" customFormat="1" ht="18.75" spans="1:5">
      <c r="A4424" s="8" t="str">
        <f t="shared" si="78"/>
        <v>250022</v>
      </c>
      <c r="B4424" s="8" t="str">
        <f>"2561405010408"</f>
        <v>2561405010408</v>
      </c>
      <c r="C4424" s="8" t="s">
        <v>11</v>
      </c>
      <c r="D4424" s="9">
        <v>0</v>
      </c>
      <c r="E4424" s="8">
        <v>59</v>
      </c>
    </row>
    <row r="4425" s="3" customFormat="1" ht="18.75" spans="1:5">
      <c r="A4425" s="8" t="str">
        <f t="shared" si="78"/>
        <v>250022</v>
      </c>
      <c r="B4425" s="8" t="str">
        <f>"2561405010413"</f>
        <v>2561405010413</v>
      </c>
      <c r="C4425" s="8" t="s">
        <v>11</v>
      </c>
      <c r="D4425" s="9">
        <v>0</v>
      </c>
      <c r="E4425" s="8">
        <v>59</v>
      </c>
    </row>
    <row r="4426" s="3" customFormat="1" ht="18.75" spans="1:5">
      <c r="A4426" s="8" t="str">
        <f t="shared" si="78"/>
        <v>250022</v>
      </c>
      <c r="B4426" s="8" t="str">
        <f>"2561405010414"</f>
        <v>2561405010414</v>
      </c>
      <c r="C4426" s="8" t="s">
        <v>11</v>
      </c>
      <c r="D4426" s="9">
        <v>0</v>
      </c>
      <c r="E4426" s="8">
        <v>59</v>
      </c>
    </row>
    <row r="4427" s="3" customFormat="1" ht="18.75" spans="1:5">
      <c r="A4427" s="8" t="str">
        <f t="shared" si="78"/>
        <v>250022</v>
      </c>
      <c r="B4427" s="8" t="str">
        <f>"2561405010418"</f>
        <v>2561405010418</v>
      </c>
      <c r="C4427" s="8" t="s">
        <v>11</v>
      </c>
      <c r="D4427" s="9">
        <v>0</v>
      </c>
      <c r="E4427" s="8">
        <v>59</v>
      </c>
    </row>
    <row r="4428" s="3" customFormat="1" ht="18.75" spans="1:5">
      <c r="A4428" s="8" t="str">
        <f t="shared" si="78"/>
        <v>250022</v>
      </c>
      <c r="B4428" s="8" t="str">
        <f>"2561405010419"</f>
        <v>2561405010419</v>
      </c>
      <c r="C4428" s="8" t="s">
        <v>11</v>
      </c>
      <c r="D4428" s="9">
        <v>0</v>
      </c>
      <c r="E4428" s="8">
        <v>59</v>
      </c>
    </row>
    <row r="4429" s="3" customFormat="1" ht="18.75" spans="1:5">
      <c r="A4429" s="8" t="str">
        <f t="shared" si="78"/>
        <v>250022</v>
      </c>
      <c r="B4429" s="8" t="str">
        <f>"2561405010422"</f>
        <v>2561405010422</v>
      </c>
      <c r="C4429" s="8" t="s">
        <v>11</v>
      </c>
      <c r="D4429" s="9">
        <v>0</v>
      </c>
      <c r="E4429" s="8">
        <v>59</v>
      </c>
    </row>
    <row r="4430" s="3" customFormat="1" ht="18.75" spans="1:5">
      <c r="A4430" s="8" t="str">
        <f t="shared" si="78"/>
        <v>250022</v>
      </c>
      <c r="B4430" s="8" t="str">
        <f>"2561405010424"</f>
        <v>2561405010424</v>
      </c>
      <c r="C4430" s="8" t="s">
        <v>11</v>
      </c>
      <c r="D4430" s="9">
        <v>0</v>
      </c>
      <c r="E4430" s="8">
        <v>59</v>
      </c>
    </row>
    <row r="4431" s="3" customFormat="1" ht="18.75" spans="1:5">
      <c r="A4431" s="8" t="str">
        <f t="shared" si="78"/>
        <v>250022</v>
      </c>
      <c r="B4431" s="8" t="str">
        <f>"2561405010426"</f>
        <v>2561405010426</v>
      </c>
      <c r="C4431" s="8" t="s">
        <v>11</v>
      </c>
      <c r="D4431" s="9">
        <v>0</v>
      </c>
      <c r="E4431" s="8">
        <v>59</v>
      </c>
    </row>
    <row r="4432" s="3" customFormat="1" ht="18.75" spans="1:5">
      <c r="A4432" s="8" t="str">
        <f t="shared" si="78"/>
        <v>250022</v>
      </c>
      <c r="B4432" s="8" t="str">
        <f>"2561405010427"</f>
        <v>2561405010427</v>
      </c>
      <c r="C4432" s="8" t="s">
        <v>11</v>
      </c>
      <c r="D4432" s="9">
        <v>0</v>
      </c>
      <c r="E4432" s="8">
        <v>59</v>
      </c>
    </row>
    <row r="4433" s="3" customFormat="1" ht="18.75" spans="1:5">
      <c r="A4433" s="8" t="str">
        <f t="shared" si="78"/>
        <v>250022</v>
      </c>
      <c r="B4433" s="8" t="str">
        <f>"2561405010429"</f>
        <v>2561405010429</v>
      </c>
      <c r="C4433" s="8" t="s">
        <v>11</v>
      </c>
      <c r="D4433" s="9">
        <v>0</v>
      </c>
      <c r="E4433" s="8">
        <v>59</v>
      </c>
    </row>
    <row r="4434" s="3" customFormat="1" ht="18.75" spans="1:5">
      <c r="A4434" s="8" t="str">
        <f t="shared" si="78"/>
        <v>250022</v>
      </c>
      <c r="B4434" s="8" t="str">
        <f>"2561405010503"</f>
        <v>2561405010503</v>
      </c>
      <c r="C4434" s="8" t="s">
        <v>11</v>
      </c>
      <c r="D4434" s="9">
        <v>0</v>
      </c>
      <c r="E4434" s="8">
        <v>59</v>
      </c>
    </row>
    <row r="4435" s="3" customFormat="1" ht="18.75" spans="1:5">
      <c r="A4435" s="8" t="str">
        <f t="shared" si="78"/>
        <v>250022</v>
      </c>
      <c r="B4435" s="8" t="str">
        <f>"2561405010508"</f>
        <v>2561405010508</v>
      </c>
      <c r="C4435" s="8" t="s">
        <v>11</v>
      </c>
      <c r="D4435" s="9">
        <v>0</v>
      </c>
      <c r="E4435" s="8">
        <v>59</v>
      </c>
    </row>
    <row r="4436" s="3" customFormat="1" ht="18.75" spans="1:5">
      <c r="A4436" s="8" t="str">
        <f t="shared" si="78"/>
        <v>250022</v>
      </c>
      <c r="B4436" s="8" t="str">
        <f>"2561405010510"</f>
        <v>2561405010510</v>
      </c>
      <c r="C4436" s="8" t="s">
        <v>11</v>
      </c>
      <c r="D4436" s="9">
        <v>0</v>
      </c>
      <c r="E4436" s="8">
        <v>59</v>
      </c>
    </row>
    <row r="4437" s="3" customFormat="1" ht="18.75" spans="1:5">
      <c r="A4437" s="8" t="str">
        <f t="shared" si="78"/>
        <v>250022</v>
      </c>
      <c r="B4437" s="8" t="str">
        <f>"2561405010519"</f>
        <v>2561405010519</v>
      </c>
      <c r="C4437" s="8" t="s">
        <v>11</v>
      </c>
      <c r="D4437" s="9">
        <v>0</v>
      </c>
      <c r="E4437" s="8">
        <v>59</v>
      </c>
    </row>
    <row r="4438" s="3" customFormat="1" ht="18.75" spans="1:5">
      <c r="A4438" s="8" t="str">
        <f t="shared" si="78"/>
        <v>250022</v>
      </c>
      <c r="B4438" s="8" t="str">
        <f>"2561405010520"</f>
        <v>2561405010520</v>
      </c>
      <c r="C4438" s="8" t="s">
        <v>11</v>
      </c>
      <c r="D4438" s="9">
        <v>0</v>
      </c>
      <c r="E4438" s="8">
        <v>59</v>
      </c>
    </row>
    <row r="4439" s="3" customFormat="1" ht="18.75" spans="1:5">
      <c r="A4439" s="8" t="str">
        <f t="shared" si="78"/>
        <v>250022</v>
      </c>
      <c r="B4439" s="8" t="str">
        <f>"2561405010522"</f>
        <v>2561405010522</v>
      </c>
      <c r="C4439" s="8" t="s">
        <v>11</v>
      </c>
      <c r="D4439" s="9">
        <v>0</v>
      </c>
      <c r="E4439" s="8">
        <v>59</v>
      </c>
    </row>
    <row r="4440" s="3" customFormat="1" ht="18.75" spans="1:5">
      <c r="A4440" s="8" t="str">
        <f t="shared" si="78"/>
        <v>250022</v>
      </c>
      <c r="B4440" s="8" t="str">
        <f>"2561405010524"</f>
        <v>2561405010524</v>
      </c>
      <c r="C4440" s="8" t="s">
        <v>11</v>
      </c>
      <c r="D4440" s="9">
        <v>0</v>
      </c>
      <c r="E4440" s="8">
        <v>59</v>
      </c>
    </row>
    <row r="4441" s="3" customFormat="1" ht="18.75" spans="1:5">
      <c r="A4441" s="8" t="str">
        <f t="shared" ref="A4441:A4504" si="79">"250023"</f>
        <v>250023</v>
      </c>
      <c r="B4441" s="8" t="str">
        <f>"2561406011321"</f>
        <v>2561406011321</v>
      </c>
      <c r="C4441" s="8" t="s">
        <v>12</v>
      </c>
      <c r="D4441" s="9">
        <v>74.03</v>
      </c>
      <c r="E4441" s="8">
        <v>1</v>
      </c>
    </row>
    <row r="4442" s="3" customFormat="1" ht="18.75" spans="1:5">
      <c r="A4442" s="8" t="str">
        <f t="shared" si="79"/>
        <v>250023</v>
      </c>
      <c r="B4442" s="8" t="str">
        <f>"2561406010828"</f>
        <v>2561406010828</v>
      </c>
      <c r="C4442" s="8" t="s">
        <v>12</v>
      </c>
      <c r="D4442" s="9">
        <v>72.31</v>
      </c>
      <c r="E4442" s="8">
        <v>2</v>
      </c>
    </row>
    <row r="4443" s="3" customFormat="1" ht="18.75" spans="1:5">
      <c r="A4443" s="8" t="str">
        <f t="shared" si="79"/>
        <v>250023</v>
      </c>
      <c r="B4443" s="8" t="str">
        <f>"2561406011228"</f>
        <v>2561406011228</v>
      </c>
      <c r="C4443" s="8" t="s">
        <v>12</v>
      </c>
      <c r="D4443" s="9">
        <v>72.17</v>
      </c>
      <c r="E4443" s="8">
        <v>3</v>
      </c>
    </row>
    <row r="4444" s="3" customFormat="1" ht="18.75" spans="1:5">
      <c r="A4444" s="8" t="str">
        <f t="shared" si="79"/>
        <v>250023</v>
      </c>
      <c r="B4444" s="8" t="str">
        <f>"2561406010427"</f>
        <v>2561406010427</v>
      </c>
      <c r="C4444" s="8" t="s">
        <v>12</v>
      </c>
      <c r="D4444" s="9">
        <v>71.93</v>
      </c>
      <c r="E4444" s="8">
        <v>4</v>
      </c>
    </row>
    <row r="4445" s="3" customFormat="1" ht="18.75" spans="1:5">
      <c r="A4445" s="8" t="str">
        <f t="shared" si="79"/>
        <v>250023</v>
      </c>
      <c r="B4445" s="8" t="str">
        <f>"2561406011216"</f>
        <v>2561406011216</v>
      </c>
      <c r="C4445" s="8" t="s">
        <v>12</v>
      </c>
      <c r="D4445" s="9">
        <v>71.73</v>
      </c>
      <c r="E4445" s="8">
        <v>5</v>
      </c>
    </row>
    <row r="4446" s="3" customFormat="1" ht="18.75" spans="1:5">
      <c r="A4446" s="8" t="str">
        <f t="shared" si="79"/>
        <v>250023</v>
      </c>
      <c r="B4446" s="8" t="str">
        <f>"2561406011006"</f>
        <v>2561406011006</v>
      </c>
      <c r="C4446" s="8" t="s">
        <v>12</v>
      </c>
      <c r="D4446" s="9">
        <v>70.4</v>
      </c>
      <c r="E4446" s="8">
        <v>6</v>
      </c>
    </row>
    <row r="4447" s="3" customFormat="1" ht="18.75" spans="1:5">
      <c r="A4447" s="8" t="str">
        <f t="shared" si="79"/>
        <v>250023</v>
      </c>
      <c r="B4447" s="8" t="str">
        <f>"2561406011002"</f>
        <v>2561406011002</v>
      </c>
      <c r="C4447" s="8" t="s">
        <v>12</v>
      </c>
      <c r="D4447" s="9">
        <v>69.56</v>
      </c>
      <c r="E4447" s="8">
        <v>7</v>
      </c>
    </row>
    <row r="4448" s="3" customFormat="1" ht="18.75" spans="1:5">
      <c r="A4448" s="8" t="str">
        <f t="shared" si="79"/>
        <v>250023</v>
      </c>
      <c r="B4448" s="8" t="str">
        <f>"2561406011114"</f>
        <v>2561406011114</v>
      </c>
      <c r="C4448" s="8" t="s">
        <v>12</v>
      </c>
      <c r="D4448" s="9">
        <v>68.14</v>
      </c>
      <c r="E4448" s="8">
        <v>8</v>
      </c>
    </row>
    <row r="4449" s="3" customFormat="1" ht="18.75" spans="1:5">
      <c r="A4449" s="8" t="str">
        <f t="shared" si="79"/>
        <v>250023</v>
      </c>
      <c r="B4449" s="8" t="str">
        <f>"2561406010704"</f>
        <v>2561406010704</v>
      </c>
      <c r="C4449" s="8" t="s">
        <v>12</v>
      </c>
      <c r="D4449" s="9">
        <v>68.05</v>
      </c>
      <c r="E4449" s="8">
        <v>9</v>
      </c>
    </row>
    <row r="4450" s="3" customFormat="1" ht="18.75" spans="1:5">
      <c r="A4450" s="8" t="str">
        <f t="shared" si="79"/>
        <v>250023</v>
      </c>
      <c r="B4450" s="8" t="str">
        <f>"2561406010818"</f>
        <v>2561406010818</v>
      </c>
      <c r="C4450" s="8" t="s">
        <v>12</v>
      </c>
      <c r="D4450" s="9">
        <v>67.8</v>
      </c>
      <c r="E4450" s="8">
        <v>10</v>
      </c>
    </row>
    <row r="4451" s="3" customFormat="1" ht="18.75" spans="1:5">
      <c r="A4451" s="8" t="str">
        <f t="shared" si="79"/>
        <v>250023</v>
      </c>
      <c r="B4451" s="8" t="str">
        <f>"2561406011115"</f>
        <v>2561406011115</v>
      </c>
      <c r="C4451" s="8" t="s">
        <v>12</v>
      </c>
      <c r="D4451" s="9">
        <v>66.71</v>
      </c>
      <c r="E4451" s="8">
        <v>11</v>
      </c>
    </row>
    <row r="4452" s="3" customFormat="1" ht="18.75" spans="1:5">
      <c r="A4452" s="8" t="str">
        <f t="shared" si="79"/>
        <v>250023</v>
      </c>
      <c r="B4452" s="8" t="str">
        <f>"2561406011422"</f>
        <v>2561406011422</v>
      </c>
      <c r="C4452" s="8" t="s">
        <v>12</v>
      </c>
      <c r="D4452" s="9">
        <v>66.2</v>
      </c>
      <c r="E4452" s="8">
        <v>12</v>
      </c>
    </row>
    <row r="4453" s="3" customFormat="1" ht="18.75" spans="1:5">
      <c r="A4453" s="8" t="str">
        <f t="shared" si="79"/>
        <v>250023</v>
      </c>
      <c r="B4453" s="8" t="str">
        <f>"2561406010312"</f>
        <v>2561406010312</v>
      </c>
      <c r="C4453" s="8" t="s">
        <v>12</v>
      </c>
      <c r="D4453" s="9">
        <v>66.11</v>
      </c>
      <c r="E4453" s="8">
        <v>13</v>
      </c>
    </row>
    <row r="4454" s="3" customFormat="1" ht="18.75" spans="1:5">
      <c r="A4454" s="8" t="str">
        <f t="shared" si="79"/>
        <v>250023</v>
      </c>
      <c r="B4454" s="8" t="str">
        <f>"2561406010306"</f>
        <v>2561406010306</v>
      </c>
      <c r="C4454" s="8" t="s">
        <v>12</v>
      </c>
      <c r="D4454" s="9">
        <v>65.89</v>
      </c>
      <c r="E4454" s="8">
        <v>14</v>
      </c>
    </row>
    <row r="4455" s="3" customFormat="1" ht="18.75" spans="1:5">
      <c r="A4455" s="8" t="str">
        <f t="shared" si="79"/>
        <v>250023</v>
      </c>
      <c r="B4455" s="8" t="str">
        <f>"2561406011327"</f>
        <v>2561406011327</v>
      </c>
      <c r="C4455" s="8" t="s">
        <v>12</v>
      </c>
      <c r="D4455" s="9">
        <v>65.62</v>
      </c>
      <c r="E4455" s="8">
        <v>15</v>
      </c>
    </row>
    <row r="4456" s="3" customFormat="1" ht="18.75" spans="1:5">
      <c r="A4456" s="8" t="str">
        <f t="shared" si="79"/>
        <v>250023</v>
      </c>
      <c r="B4456" s="8" t="str">
        <f>"2561406011429"</f>
        <v>2561406011429</v>
      </c>
      <c r="C4456" s="8" t="s">
        <v>12</v>
      </c>
      <c r="D4456" s="9">
        <v>65.52</v>
      </c>
      <c r="E4456" s="8">
        <v>16</v>
      </c>
    </row>
    <row r="4457" s="3" customFormat="1" ht="18.75" spans="1:5">
      <c r="A4457" s="8" t="str">
        <f t="shared" si="79"/>
        <v>250023</v>
      </c>
      <c r="B4457" s="8" t="str">
        <f>"2561406010529"</f>
        <v>2561406010529</v>
      </c>
      <c r="C4457" s="8" t="s">
        <v>12</v>
      </c>
      <c r="D4457" s="9">
        <v>65.41</v>
      </c>
      <c r="E4457" s="8">
        <v>17</v>
      </c>
    </row>
    <row r="4458" s="3" customFormat="1" ht="18.75" spans="1:5">
      <c r="A4458" s="8" t="str">
        <f t="shared" si="79"/>
        <v>250023</v>
      </c>
      <c r="B4458" s="8" t="str">
        <f>"2561406010305"</f>
        <v>2561406010305</v>
      </c>
      <c r="C4458" s="8" t="s">
        <v>12</v>
      </c>
      <c r="D4458" s="9">
        <v>65.22</v>
      </c>
      <c r="E4458" s="8">
        <v>18</v>
      </c>
    </row>
    <row r="4459" s="3" customFormat="1" ht="18.75" spans="1:5">
      <c r="A4459" s="8" t="str">
        <f t="shared" si="79"/>
        <v>250023</v>
      </c>
      <c r="B4459" s="8" t="str">
        <f>"2561406011101"</f>
        <v>2561406011101</v>
      </c>
      <c r="C4459" s="8" t="s">
        <v>12</v>
      </c>
      <c r="D4459" s="9">
        <v>64.8</v>
      </c>
      <c r="E4459" s="8">
        <v>19</v>
      </c>
    </row>
    <row r="4460" s="3" customFormat="1" ht="18.75" spans="1:5">
      <c r="A4460" s="8" t="str">
        <f t="shared" si="79"/>
        <v>250023</v>
      </c>
      <c r="B4460" s="8" t="str">
        <f>"2561406010408"</f>
        <v>2561406010408</v>
      </c>
      <c r="C4460" s="8" t="s">
        <v>12</v>
      </c>
      <c r="D4460" s="9">
        <v>64.59</v>
      </c>
      <c r="E4460" s="8">
        <v>20</v>
      </c>
    </row>
    <row r="4461" s="3" customFormat="1" ht="18.75" spans="1:5">
      <c r="A4461" s="8" t="str">
        <f t="shared" si="79"/>
        <v>250023</v>
      </c>
      <c r="B4461" s="8" t="str">
        <f>"2561406011405"</f>
        <v>2561406011405</v>
      </c>
      <c r="C4461" s="8" t="s">
        <v>12</v>
      </c>
      <c r="D4461" s="9">
        <v>64.57</v>
      </c>
      <c r="E4461" s="8">
        <v>21</v>
      </c>
    </row>
    <row r="4462" s="3" customFormat="1" ht="18.75" spans="1:5">
      <c r="A4462" s="8" t="str">
        <f t="shared" si="79"/>
        <v>250023</v>
      </c>
      <c r="B4462" s="8" t="str">
        <f>"2561406010129"</f>
        <v>2561406010129</v>
      </c>
      <c r="C4462" s="8" t="s">
        <v>12</v>
      </c>
      <c r="D4462" s="9">
        <v>64.49</v>
      </c>
      <c r="E4462" s="8">
        <v>22</v>
      </c>
    </row>
    <row r="4463" s="3" customFormat="1" ht="18.75" spans="1:5">
      <c r="A4463" s="8" t="str">
        <f t="shared" si="79"/>
        <v>250023</v>
      </c>
      <c r="B4463" s="8" t="str">
        <f>"2561406010929"</f>
        <v>2561406010929</v>
      </c>
      <c r="C4463" s="8" t="s">
        <v>12</v>
      </c>
      <c r="D4463" s="9">
        <v>64.39</v>
      </c>
      <c r="E4463" s="8">
        <v>23</v>
      </c>
    </row>
    <row r="4464" s="3" customFormat="1" ht="18.75" spans="1:5">
      <c r="A4464" s="8" t="str">
        <f t="shared" si="79"/>
        <v>250023</v>
      </c>
      <c r="B4464" s="8" t="str">
        <f>"2561406010226"</f>
        <v>2561406010226</v>
      </c>
      <c r="C4464" s="8" t="s">
        <v>12</v>
      </c>
      <c r="D4464" s="9">
        <v>64.35</v>
      </c>
      <c r="E4464" s="8">
        <v>24</v>
      </c>
    </row>
    <row r="4465" s="3" customFormat="1" ht="18.75" spans="1:5">
      <c r="A4465" s="8" t="str">
        <f t="shared" si="79"/>
        <v>250023</v>
      </c>
      <c r="B4465" s="8" t="str">
        <f>"2561406010128"</f>
        <v>2561406010128</v>
      </c>
      <c r="C4465" s="8" t="s">
        <v>12</v>
      </c>
      <c r="D4465" s="9">
        <v>64.33</v>
      </c>
      <c r="E4465" s="8">
        <v>25</v>
      </c>
    </row>
    <row r="4466" s="3" customFormat="1" ht="18.75" spans="1:5">
      <c r="A4466" s="8" t="str">
        <f t="shared" si="79"/>
        <v>250023</v>
      </c>
      <c r="B4466" s="8" t="str">
        <f>"2561406011016"</f>
        <v>2561406011016</v>
      </c>
      <c r="C4466" s="8" t="s">
        <v>12</v>
      </c>
      <c r="D4466" s="9">
        <v>64.17</v>
      </c>
      <c r="E4466" s="8">
        <v>26</v>
      </c>
    </row>
    <row r="4467" s="3" customFormat="1" ht="18.75" spans="1:5">
      <c r="A4467" s="8" t="str">
        <f t="shared" si="79"/>
        <v>250023</v>
      </c>
      <c r="B4467" s="8" t="str">
        <f>"2561406010703"</f>
        <v>2561406010703</v>
      </c>
      <c r="C4467" s="8" t="s">
        <v>12</v>
      </c>
      <c r="D4467" s="9">
        <v>64.14</v>
      </c>
      <c r="E4467" s="8">
        <v>27</v>
      </c>
    </row>
    <row r="4468" s="3" customFormat="1" ht="18.75" spans="1:5">
      <c r="A4468" s="8" t="str">
        <f t="shared" si="79"/>
        <v>250023</v>
      </c>
      <c r="B4468" s="8" t="str">
        <f>"2561406010925"</f>
        <v>2561406010925</v>
      </c>
      <c r="C4468" s="8" t="s">
        <v>12</v>
      </c>
      <c r="D4468" s="9">
        <v>63.88</v>
      </c>
      <c r="E4468" s="8">
        <v>28</v>
      </c>
    </row>
    <row r="4469" s="3" customFormat="1" ht="18.75" spans="1:5">
      <c r="A4469" s="8" t="str">
        <f t="shared" si="79"/>
        <v>250023</v>
      </c>
      <c r="B4469" s="8" t="str">
        <f>"2561406010901"</f>
        <v>2561406010901</v>
      </c>
      <c r="C4469" s="8" t="s">
        <v>12</v>
      </c>
      <c r="D4469" s="9">
        <v>63.73</v>
      </c>
      <c r="E4469" s="8">
        <v>29</v>
      </c>
    </row>
    <row r="4470" s="3" customFormat="1" ht="18.75" spans="1:5">
      <c r="A4470" s="8" t="str">
        <f t="shared" si="79"/>
        <v>250023</v>
      </c>
      <c r="B4470" s="8" t="str">
        <f>"2561406010725"</f>
        <v>2561406010725</v>
      </c>
      <c r="C4470" s="8" t="s">
        <v>12</v>
      </c>
      <c r="D4470" s="9">
        <v>63.59</v>
      </c>
      <c r="E4470" s="8">
        <v>30</v>
      </c>
    </row>
    <row r="4471" s="3" customFormat="1" ht="18.75" spans="1:5">
      <c r="A4471" s="8" t="str">
        <f t="shared" si="79"/>
        <v>250023</v>
      </c>
      <c r="B4471" s="8" t="str">
        <f>"2561406010105"</f>
        <v>2561406010105</v>
      </c>
      <c r="C4471" s="8" t="s">
        <v>12</v>
      </c>
      <c r="D4471" s="9">
        <v>63.58</v>
      </c>
      <c r="E4471" s="8">
        <v>31</v>
      </c>
    </row>
    <row r="4472" s="3" customFormat="1" ht="18.75" spans="1:5">
      <c r="A4472" s="8" t="str">
        <f t="shared" si="79"/>
        <v>250023</v>
      </c>
      <c r="B4472" s="8" t="str">
        <f>"2561406011322"</f>
        <v>2561406011322</v>
      </c>
      <c r="C4472" s="8" t="s">
        <v>12</v>
      </c>
      <c r="D4472" s="9">
        <v>63.49</v>
      </c>
      <c r="E4472" s="8">
        <v>32</v>
      </c>
    </row>
    <row r="4473" s="3" customFormat="1" ht="18.75" spans="1:5">
      <c r="A4473" s="8" t="str">
        <f t="shared" si="79"/>
        <v>250023</v>
      </c>
      <c r="B4473" s="8" t="str">
        <f>"2561406011427"</f>
        <v>2561406011427</v>
      </c>
      <c r="C4473" s="8" t="s">
        <v>12</v>
      </c>
      <c r="D4473" s="9">
        <v>63.41</v>
      </c>
      <c r="E4473" s="8">
        <v>33</v>
      </c>
    </row>
    <row r="4474" s="3" customFormat="1" ht="18.75" spans="1:5">
      <c r="A4474" s="8" t="str">
        <f t="shared" si="79"/>
        <v>250023</v>
      </c>
      <c r="B4474" s="8" t="str">
        <f>"2561406011202"</f>
        <v>2561406011202</v>
      </c>
      <c r="C4474" s="8" t="s">
        <v>12</v>
      </c>
      <c r="D4474" s="9">
        <v>63.37</v>
      </c>
      <c r="E4474" s="8">
        <v>34</v>
      </c>
    </row>
    <row r="4475" s="3" customFormat="1" ht="18.75" spans="1:5">
      <c r="A4475" s="8" t="str">
        <f t="shared" si="79"/>
        <v>250023</v>
      </c>
      <c r="B4475" s="8" t="str">
        <f>"2561406010709"</f>
        <v>2561406010709</v>
      </c>
      <c r="C4475" s="8" t="s">
        <v>12</v>
      </c>
      <c r="D4475" s="9">
        <v>63.36</v>
      </c>
      <c r="E4475" s="8">
        <v>35</v>
      </c>
    </row>
    <row r="4476" s="3" customFormat="1" ht="18.75" spans="1:5">
      <c r="A4476" s="8" t="str">
        <f t="shared" si="79"/>
        <v>250023</v>
      </c>
      <c r="B4476" s="8" t="str">
        <f>"2561406010416"</f>
        <v>2561406010416</v>
      </c>
      <c r="C4476" s="8" t="s">
        <v>12</v>
      </c>
      <c r="D4476" s="9">
        <v>63</v>
      </c>
      <c r="E4476" s="8">
        <v>36</v>
      </c>
    </row>
    <row r="4477" s="3" customFormat="1" ht="18.75" spans="1:5">
      <c r="A4477" s="8" t="str">
        <f t="shared" si="79"/>
        <v>250023</v>
      </c>
      <c r="B4477" s="8" t="str">
        <f>"2561406010213"</f>
        <v>2561406010213</v>
      </c>
      <c r="C4477" s="8" t="s">
        <v>12</v>
      </c>
      <c r="D4477" s="9">
        <v>62.89</v>
      </c>
      <c r="E4477" s="8">
        <v>37</v>
      </c>
    </row>
    <row r="4478" s="3" customFormat="1" ht="18.75" spans="1:5">
      <c r="A4478" s="8" t="str">
        <f t="shared" si="79"/>
        <v>250023</v>
      </c>
      <c r="B4478" s="8" t="str">
        <f>"2561406011407"</f>
        <v>2561406011407</v>
      </c>
      <c r="C4478" s="8" t="s">
        <v>12</v>
      </c>
      <c r="D4478" s="9">
        <v>62.89</v>
      </c>
      <c r="E4478" s="8">
        <v>37</v>
      </c>
    </row>
    <row r="4479" s="3" customFormat="1" ht="18.75" spans="1:5">
      <c r="A4479" s="8" t="str">
        <f t="shared" si="79"/>
        <v>250023</v>
      </c>
      <c r="B4479" s="8" t="str">
        <f>"2561406010722"</f>
        <v>2561406010722</v>
      </c>
      <c r="C4479" s="8" t="s">
        <v>12</v>
      </c>
      <c r="D4479" s="9">
        <v>62.75</v>
      </c>
      <c r="E4479" s="8">
        <v>39</v>
      </c>
    </row>
    <row r="4480" s="3" customFormat="1" ht="18.75" spans="1:5">
      <c r="A4480" s="8" t="str">
        <f t="shared" si="79"/>
        <v>250023</v>
      </c>
      <c r="B4480" s="8" t="str">
        <f>"2561406011026"</f>
        <v>2561406011026</v>
      </c>
      <c r="C4480" s="8" t="s">
        <v>12</v>
      </c>
      <c r="D4480" s="9">
        <v>62.74</v>
      </c>
      <c r="E4480" s="8">
        <v>40</v>
      </c>
    </row>
    <row r="4481" s="3" customFormat="1" ht="18.75" spans="1:5">
      <c r="A4481" s="8" t="str">
        <f t="shared" si="79"/>
        <v>250023</v>
      </c>
      <c r="B4481" s="8" t="str">
        <f>"2561406010619"</f>
        <v>2561406010619</v>
      </c>
      <c r="C4481" s="8" t="s">
        <v>12</v>
      </c>
      <c r="D4481" s="9">
        <v>62.7</v>
      </c>
      <c r="E4481" s="8">
        <v>41</v>
      </c>
    </row>
    <row r="4482" s="3" customFormat="1" ht="18.75" spans="1:5">
      <c r="A4482" s="8" t="str">
        <f t="shared" si="79"/>
        <v>250023</v>
      </c>
      <c r="B4482" s="8" t="str">
        <f>"2561406011108"</f>
        <v>2561406011108</v>
      </c>
      <c r="C4482" s="8" t="s">
        <v>12</v>
      </c>
      <c r="D4482" s="9">
        <v>62.66</v>
      </c>
      <c r="E4482" s="8">
        <v>42</v>
      </c>
    </row>
    <row r="4483" s="3" customFormat="1" ht="18.75" spans="1:5">
      <c r="A4483" s="8" t="str">
        <f t="shared" si="79"/>
        <v>250023</v>
      </c>
      <c r="B4483" s="8" t="str">
        <f>"2561406011501"</f>
        <v>2561406011501</v>
      </c>
      <c r="C4483" s="8" t="s">
        <v>12</v>
      </c>
      <c r="D4483" s="9">
        <v>62.62</v>
      </c>
      <c r="E4483" s="8">
        <v>43</v>
      </c>
    </row>
    <row r="4484" s="3" customFormat="1" ht="18.75" spans="1:5">
      <c r="A4484" s="8" t="str">
        <f t="shared" si="79"/>
        <v>250023</v>
      </c>
      <c r="B4484" s="8" t="str">
        <f>"2561406011225"</f>
        <v>2561406011225</v>
      </c>
      <c r="C4484" s="8" t="s">
        <v>12</v>
      </c>
      <c r="D4484" s="9">
        <v>62.41</v>
      </c>
      <c r="E4484" s="8">
        <v>44</v>
      </c>
    </row>
    <row r="4485" s="3" customFormat="1" ht="18.75" spans="1:5">
      <c r="A4485" s="8" t="str">
        <f t="shared" si="79"/>
        <v>250023</v>
      </c>
      <c r="B4485" s="8" t="str">
        <f>"2561406010928"</f>
        <v>2561406010928</v>
      </c>
      <c r="C4485" s="8" t="s">
        <v>12</v>
      </c>
      <c r="D4485" s="9">
        <v>62.38</v>
      </c>
      <c r="E4485" s="8">
        <v>45</v>
      </c>
    </row>
    <row r="4486" s="3" customFormat="1" ht="18.75" spans="1:5">
      <c r="A4486" s="8" t="str">
        <f t="shared" si="79"/>
        <v>250023</v>
      </c>
      <c r="B4486" s="8" t="str">
        <f>"2561406010428"</f>
        <v>2561406010428</v>
      </c>
      <c r="C4486" s="8" t="s">
        <v>12</v>
      </c>
      <c r="D4486" s="9">
        <v>62.23</v>
      </c>
      <c r="E4486" s="8">
        <v>46</v>
      </c>
    </row>
    <row r="4487" s="3" customFormat="1" ht="18.75" spans="1:5">
      <c r="A4487" s="8" t="str">
        <f t="shared" si="79"/>
        <v>250023</v>
      </c>
      <c r="B4487" s="8" t="str">
        <f>"2561406011218"</f>
        <v>2561406011218</v>
      </c>
      <c r="C4487" s="8" t="s">
        <v>12</v>
      </c>
      <c r="D4487" s="9">
        <v>62.15</v>
      </c>
      <c r="E4487" s="8">
        <v>47</v>
      </c>
    </row>
    <row r="4488" s="3" customFormat="1" ht="18.75" spans="1:5">
      <c r="A4488" s="8" t="str">
        <f t="shared" si="79"/>
        <v>250023</v>
      </c>
      <c r="B4488" s="8" t="str">
        <f>"2561406010701"</f>
        <v>2561406010701</v>
      </c>
      <c r="C4488" s="8" t="s">
        <v>12</v>
      </c>
      <c r="D4488" s="9">
        <v>62.08</v>
      </c>
      <c r="E4488" s="8">
        <v>48</v>
      </c>
    </row>
    <row r="4489" s="3" customFormat="1" ht="18.75" spans="1:5">
      <c r="A4489" s="8" t="str">
        <f t="shared" si="79"/>
        <v>250023</v>
      </c>
      <c r="B4489" s="8" t="str">
        <f>"2561406010715"</f>
        <v>2561406010715</v>
      </c>
      <c r="C4489" s="8" t="s">
        <v>12</v>
      </c>
      <c r="D4489" s="9">
        <v>61.92</v>
      </c>
      <c r="E4489" s="8">
        <v>49</v>
      </c>
    </row>
    <row r="4490" s="3" customFormat="1" ht="18.75" spans="1:5">
      <c r="A4490" s="8" t="str">
        <f t="shared" si="79"/>
        <v>250023</v>
      </c>
      <c r="B4490" s="8" t="str">
        <f>"2561406010321"</f>
        <v>2561406010321</v>
      </c>
      <c r="C4490" s="8" t="s">
        <v>12</v>
      </c>
      <c r="D4490" s="9">
        <v>61.36</v>
      </c>
      <c r="E4490" s="8">
        <v>50</v>
      </c>
    </row>
    <row r="4491" s="3" customFormat="1" ht="18.75" spans="1:5">
      <c r="A4491" s="8" t="str">
        <f t="shared" si="79"/>
        <v>250023</v>
      </c>
      <c r="B4491" s="8" t="str">
        <f>"2561406010215"</f>
        <v>2561406010215</v>
      </c>
      <c r="C4491" s="8" t="s">
        <v>12</v>
      </c>
      <c r="D4491" s="9">
        <v>61.34</v>
      </c>
      <c r="E4491" s="8">
        <v>51</v>
      </c>
    </row>
    <row r="4492" s="3" customFormat="1" ht="18.75" spans="1:5">
      <c r="A4492" s="8" t="str">
        <f t="shared" si="79"/>
        <v>250023</v>
      </c>
      <c r="B4492" s="8" t="str">
        <f>"2561406010630"</f>
        <v>2561406010630</v>
      </c>
      <c r="C4492" s="8" t="s">
        <v>12</v>
      </c>
      <c r="D4492" s="9">
        <v>61.32</v>
      </c>
      <c r="E4492" s="8">
        <v>52</v>
      </c>
    </row>
    <row r="4493" s="3" customFormat="1" ht="18.75" spans="1:5">
      <c r="A4493" s="8" t="str">
        <f t="shared" si="79"/>
        <v>250023</v>
      </c>
      <c r="B4493" s="8" t="str">
        <f>"2561406011010"</f>
        <v>2561406011010</v>
      </c>
      <c r="C4493" s="8" t="s">
        <v>12</v>
      </c>
      <c r="D4493" s="9">
        <v>61.31</v>
      </c>
      <c r="E4493" s="8">
        <v>53</v>
      </c>
    </row>
    <row r="4494" s="3" customFormat="1" ht="18.75" spans="1:5">
      <c r="A4494" s="8" t="str">
        <f t="shared" si="79"/>
        <v>250023</v>
      </c>
      <c r="B4494" s="8" t="str">
        <f>"2561406010410"</f>
        <v>2561406010410</v>
      </c>
      <c r="C4494" s="8" t="s">
        <v>12</v>
      </c>
      <c r="D4494" s="9">
        <v>61.1</v>
      </c>
      <c r="E4494" s="8">
        <v>54</v>
      </c>
    </row>
    <row r="4495" s="3" customFormat="1" ht="18.75" spans="1:5">
      <c r="A4495" s="8" t="str">
        <f t="shared" si="79"/>
        <v>250023</v>
      </c>
      <c r="B4495" s="8" t="str">
        <f>"2561406010307"</f>
        <v>2561406010307</v>
      </c>
      <c r="C4495" s="8" t="s">
        <v>12</v>
      </c>
      <c r="D4495" s="9">
        <v>60.95</v>
      </c>
      <c r="E4495" s="8">
        <v>55</v>
      </c>
    </row>
    <row r="4496" s="3" customFormat="1" ht="18.75" spans="1:5">
      <c r="A4496" s="8" t="str">
        <f t="shared" si="79"/>
        <v>250023</v>
      </c>
      <c r="B4496" s="8" t="str">
        <f>"2561406010109"</f>
        <v>2561406010109</v>
      </c>
      <c r="C4496" s="8" t="s">
        <v>12</v>
      </c>
      <c r="D4496" s="9">
        <v>60.86</v>
      </c>
      <c r="E4496" s="8">
        <v>56</v>
      </c>
    </row>
    <row r="4497" s="3" customFormat="1" ht="18.75" spans="1:5">
      <c r="A4497" s="8" t="str">
        <f t="shared" si="79"/>
        <v>250023</v>
      </c>
      <c r="B4497" s="8" t="str">
        <f>"2561406010804"</f>
        <v>2561406010804</v>
      </c>
      <c r="C4497" s="8" t="s">
        <v>12</v>
      </c>
      <c r="D4497" s="9">
        <v>60.84</v>
      </c>
      <c r="E4497" s="8">
        <v>57</v>
      </c>
    </row>
    <row r="4498" s="3" customFormat="1" ht="18.75" spans="1:5">
      <c r="A4498" s="8" t="str">
        <f t="shared" si="79"/>
        <v>250023</v>
      </c>
      <c r="B4498" s="8" t="str">
        <f>"2561406010201"</f>
        <v>2561406010201</v>
      </c>
      <c r="C4498" s="8" t="s">
        <v>12</v>
      </c>
      <c r="D4498" s="9">
        <v>60.8</v>
      </c>
      <c r="E4498" s="8">
        <v>58</v>
      </c>
    </row>
    <row r="4499" s="3" customFormat="1" ht="18.75" spans="1:5">
      <c r="A4499" s="8" t="str">
        <f t="shared" si="79"/>
        <v>250023</v>
      </c>
      <c r="B4499" s="8" t="str">
        <f>"2561406010622"</f>
        <v>2561406010622</v>
      </c>
      <c r="C4499" s="8" t="s">
        <v>12</v>
      </c>
      <c r="D4499" s="9">
        <v>60.72</v>
      </c>
      <c r="E4499" s="8">
        <v>59</v>
      </c>
    </row>
    <row r="4500" s="3" customFormat="1" ht="18.75" spans="1:5">
      <c r="A4500" s="8" t="str">
        <f t="shared" si="79"/>
        <v>250023</v>
      </c>
      <c r="B4500" s="8" t="str">
        <f>"2561406010325"</f>
        <v>2561406010325</v>
      </c>
      <c r="C4500" s="8" t="s">
        <v>12</v>
      </c>
      <c r="D4500" s="9">
        <v>60.63</v>
      </c>
      <c r="E4500" s="8">
        <v>60</v>
      </c>
    </row>
    <row r="4501" s="3" customFormat="1" ht="18.75" spans="1:5">
      <c r="A4501" s="8" t="str">
        <f t="shared" si="79"/>
        <v>250023</v>
      </c>
      <c r="B4501" s="8" t="str">
        <f>"2561406011217"</f>
        <v>2561406011217</v>
      </c>
      <c r="C4501" s="8" t="s">
        <v>12</v>
      </c>
      <c r="D4501" s="9">
        <v>60.6</v>
      </c>
      <c r="E4501" s="8">
        <v>61</v>
      </c>
    </row>
    <row r="4502" s="3" customFormat="1" ht="18.75" spans="1:5">
      <c r="A4502" s="8" t="str">
        <f t="shared" si="79"/>
        <v>250023</v>
      </c>
      <c r="B4502" s="8" t="str">
        <f>"2561406010502"</f>
        <v>2561406010502</v>
      </c>
      <c r="C4502" s="8" t="s">
        <v>12</v>
      </c>
      <c r="D4502" s="9">
        <v>60.58</v>
      </c>
      <c r="E4502" s="8">
        <v>62</v>
      </c>
    </row>
    <row r="4503" s="3" customFormat="1" ht="18.75" spans="1:5">
      <c r="A4503" s="8" t="str">
        <f t="shared" si="79"/>
        <v>250023</v>
      </c>
      <c r="B4503" s="8" t="str">
        <f>"2561406011414"</f>
        <v>2561406011414</v>
      </c>
      <c r="C4503" s="8" t="s">
        <v>12</v>
      </c>
      <c r="D4503" s="9">
        <v>60.47</v>
      </c>
      <c r="E4503" s="8">
        <v>63</v>
      </c>
    </row>
    <row r="4504" s="3" customFormat="1" ht="18.75" spans="1:5">
      <c r="A4504" s="8" t="str">
        <f t="shared" si="79"/>
        <v>250023</v>
      </c>
      <c r="B4504" s="8" t="str">
        <f>"2561406011426"</f>
        <v>2561406011426</v>
      </c>
      <c r="C4504" s="8" t="s">
        <v>12</v>
      </c>
      <c r="D4504" s="9">
        <v>60.43</v>
      </c>
      <c r="E4504" s="8">
        <v>64</v>
      </c>
    </row>
    <row r="4505" s="3" customFormat="1" ht="18.75" spans="1:5">
      <c r="A4505" s="8" t="str">
        <f t="shared" ref="A4505:A4568" si="80">"250023"</f>
        <v>250023</v>
      </c>
      <c r="B4505" s="8" t="str">
        <f>"2561406011319"</f>
        <v>2561406011319</v>
      </c>
      <c r="C4505" s="8" t="s">
        <v>12</v>
      </c>
      <c r="D4505" s="9">
        <v>60.42</v>
      </c>
      <c r="E4505" s="8">
        <v>65</v>
      </c>
    </row>
    <row r="4506" s="3" customFormat="1" ht="18.75" spans="1:5">
      <c r="A4506" s="8" t="str">
        <f t="shared" si="80"/>
        <v>250023</v>
      </c>
      <c r="B4506" s="8" t="str">
        <f>"2561406010911"</f>
        <v>2561406010911</v>
      </c>
      <c r="C4506" s="8" t="s">
        <v>12</v>
      </c>
      <c r="D4506" s="9">
        <v>60.34</v>
      </c>
      <c r="E4506" s="8">
        <v>66</v>
      </c>
    </row>
    <row r="4507" s="3" customFormat="1" ht="18.75" spans="1:5">
      <c r="A4507" s="8" t="str">
        <f t="shared" si="80"/>
        <v>250023</v>
      </c>
      <c r="B4507" s="8" t="str">
        <f>"2561406010611"</f>
        <v>2561406010611</v>
      </c>
      <c r="C4507" s="8" t="s">
        <v>12</v>
      </c>
      <c r="D4507" s="9">
        <v>60.32</v>
      </c>
      <c r="E4507" s="8">
        <v>67</v>
      </c>
    </row>
    <row r="4508" s="3" customFormat="1" ht="18.75" spans="1:5">
      <c r="A4508" s="8" t="str">
        <f t="shared" si="80"/>
        <v>250023</v>
      </c>
      <c r="B4508" s="8" t="str">
        <f>"2561406011120"</f>
        <v>2561406011120</v>
      </c>
      <c r="C4508" s="8" t="s">
        <v>12</v>
      </c>
      <c r="D4508" s="9">
        <v>60.31</v>
      </c>
      <c r="E4508" s="8">
        <v>68</v>
      </c>
    </row>
    <row r="4509" s="3" customFormat="1" ht="18.75" spans="1:5">
      <c r="A4509" s="8" t="str">
        <f t="shared" si="80"/>
        <v>250023</v>
      </c>
      <c r="B4509" s="8" t="str">
        <f>"2561406010403"</f>
        <v>2561406010403</v>
      </c>
      <c r="C4509" s="8" t="s">
        <v>12</v>
      </c>
      <c r="D4509" s="9">
        <v>60.28</v>
      </c>
      <c r="E4509" s="8">
        <v>69</v>
      </c>
    </row>
    <row r="4510" s="3" customFormat="1" ht="18.75" spans="1:5">
      <c r="A4510" s="8" t="str">
        <f t="shared" si="80"/>
        <v>250023</v>
      </c>
      <c r="B4510" s="8" t="str">
        <f>"2561406011308"</f>
        <v>2561406011308</v>
      </c>
      <c r="C4510" s="8" t="s">
        <v>12</v>
      </c>
      <c r="D4510" s="9">
        <v>60.26</v>
      </c>
      <c r="E4510" s="8">
        <v>70</v>
      </c>
    </row>
    <row r="4511" s="3" customFormat="1" ht="18.75" spans="1:5">
      <c r="A4511" s="8" t="str">
        <f t="shared" si="80"/>
        <v>250023</v>
      </c>
      <c r="B4511" s="8" t="str">
        <f>"2561406011419"</f>
        <v>2561406011419</v>
      </c>
      <c r="C4511" s="8" t="s">
        <v>12</v>
      </c>
      <c r="D4511" s="9">
        <v>60.23</v>
      </c>
      <c r="E4511" s="8">
        <v>71</v>
      </c>
    </row>
    <row r="4512" s="3" customFormat="1" ht="18.75" spans="1:5">
      <c r="A4512" s="8" t="str">
        <f t="shared" si="80"/>
        <v>250023</v>
      </c>
      <c r="B4512" s="8" t="str">
        <f>"2561406011428"</f>
        <v>2561406011428</v>
      </c>
      <c r="C4512" s="8" t="s">
        <v>12</v>
      </c>
      <c r="D4512" s="9">
        <v>60.03</v>
      </c>
      <c r="E4512" s="8">
        <v>72</v>
      </c>
    </row>
    <row r="4513" s="3" customFormat="1" ht="18.75" spans="1:5">
      <c r="A4513" s="8" t="str">
        <f t="shared" si="80"/>
        <v>250023</v>
      </c>
      <c r="B4513" s="8" t="str">
        <f>"2561406010314"</f>
        <v>2561406010314</v>
      </c>
      <c r="C4513" s="8" t="s">
        <v>12</v>
      </c>
      <c r="D4513" s="9">
        <v>59.94</v>
      </c>
      <c r="E4513" s="8">
        <v>73</v>
      </c>
    </row>
    <row r="4514" s="3" customFormat="1" ht="18.75" spans="1:5">
      <c r="A4514" s="8" t="str">
        <f t="shared" si="80"/>
        <v>250023</v>
      </c>
      <c r="B4514" s="8" t="str">
        <f>"2561406010627"</f>
        <v>2561406010627</v>
      </c>
      <c r="C4514" s="8" t="s">
        <v>12</v>
      </c>
      <c r="D4514" s="9">
        <v>59.93</v>
      </c>
      <c r="E4514" s="8">
        <v>74</v>
      </c>
    </row>
    <row r="4515" s="3" customFormat="1" ht="18.75" spans="1:5">
      <c r="A4515" s="8" t="str">
        <f t="shared" si="80"/>
        <v>250023</v>
      </c>
      <c r="B4515" s="8" t="str">
        <f>"2561406010415"</f>
        <v>2561406010415</v>
      </c>
      <c r="C4515" s="8" t="s">
        <v>12</v>
      </c>
      <c r="D4515" s="9">
        <v>59.92</v>
      </c>
      <c r="E4515" s="8">
        <v>75</v>
      </c>
    </row>
    <row r="4516" s="3" customFormat="1" ht="18.75" spans="1:5">
      <c r="A4516" s="8" t="str">
        <f t="shared" si="80"/>
        <v>250023</v>
      </c>
      <c r="B4516" s="8" t="str">
        <f>"2561406011403"</f>
        <v>2561406011403</v>
      </c>
      <c r="C4516" s="8" t="s">
        <v>12</v>
      </c>
      <c r="D4516" s="9">
        <v>59.84</v>
      </c>
      <c r="E4516" s="8">
        <v>76</v>
      </c>
    </row>
    <row r="4517" s="3" customFormat="1" ht="18.75" spans="1:5">
      <c r="A4517" s="8" t="str">
        <f t="shared" si="80"/>
        <v>250023</v>
      </c>
      <c r="B4517" s="8" t="str">
        <f>"2561406010203"</f>
        <v>2561406010203</v>
      </c>
      <c r="C4517" s="8" t="s">
        <v>12</v>
      </c>
      <c r="D4517" s="9">
        <v>59.83</v>
      </c>
      <c r="E4517" s="8">
        <v>77</v>
      </c>
    </row>
    <row r="4518" s="3" customFormat="1" ht="18.75" spans="1:5">
      <c r="A4518" s="8" t="str">
        <f t="shared" si="80"/>
        <v>250023</v>
      </c>
      <c r="B4518" s="8" t="str">
        <f>"2561406010127"</f>
        <v>2561406010127</v>
      </c>
      <c r="C4518" s="8" t="s">
        <v>12</v>
      </c>
      <c r="D4518" s="9">
        <v>59.8</v>
      </c>
      <c r="E4518" s="8">
        <v>78</v>
      </c>
    </row>
    <row r="4519" s="3" customFormat="1" ht="18.75" spans="1:5">
      <c r="A4519" s="8" t="str">
        <f t="shared" si="80"/>
        <v>250023</v>
      </c>
      <c r="B4519" s="8" t="str">
        <f>"2561406011604"</f>
        <v>2561406011604</v>
      </c>
      <c r="C4519" s="8" t="s">
        <v>12</v>
      </c>
      <c r="D4519" s="9">
        <v>59.79</v>
      </c>
      <c r="E4519" s="8">
        <v>79</v>
      </c>
    </row>
    <row r="4520" s="3" customFormat="1" ht="18.75" spans="1:5">
      <c r="A4520" s="8" t="str">
        <f t="shared" si="80"/>
        <v>250023</v>
      </c>
      <c r="B4520" s="8" t="str">
        <f>"2561406010304"</f>
        <v>2561406010304</v>
      </c>
      <c r="C4520" s="8" t="s">
        <v>12</v>
      </c>
      <c r="D4520" s="9">
        <v>59.71</v>
      </c>
      <c r="E4520" s="8">
        <v>80</v>
      </c>
    </row>
    <row r="4521" s="3" customFormat="1" ht="18.75" spans="1:5">
      <c r="A4521" s="8" t="str">
        <f t="shared" si="80"/>
        <v>250023</v>
      </c>
      <c r="B4521" s="8" t="str">
        <f>"2561406011313"</f>
        <v>2561406011313</v>
      </c>
      <c r="C4521" s="8" t="s">
        <v>12</v>
      </c>
      <c r="D4521" s="9">
        <v>59.63</v>
      </c>
      <c r="E4521" s="8">
        <v>81</v>
      </c>
    </row>
    <row r="4522" s="3" customFormat="1" ht="18.75" spans="1:5">
      <c r="A4522" s="8" t="str">
        <f t="shared" si="80"/>
        <v>250023</v>
      </c>
      <c r="B4522" s="8" t="str">
        <f>"2561406011530"</f>
        <v>2561406011530</v>
      </c>
      <c r="C4522" s="8" t="s">
        <v>12</v>
      </c>
      <c r="D4522" s="9">
        <v>59.53</v>
      </c>
      <c r="E4522" s="8">
        <v>82</v>
      </c>
    </row>
    <row r="4523" s="3" customFormat="1" ht="18.75" spans="1:5">
      <c r="A4523" s="8" t="str">
        <f t="shared" si="80"/>
        <v>250023</v>
      </c>
      <c r="B4523" s="8" t="str">
        <f>"2561406010705"</f>
        <v>2561406010705</v>
      </c>
      <c r="C4523" s="8" t="s">
        <v>12</v>
      </c>
      <c r="D4523" s="9">
        <v>59.51</v>
      </c>
      <c r="E4523" s="8">
        <v>83</v>
      </c>
    </row>
    <row r="4524" s="3" customFormat="1" ht="18.75" spans="1:5">
      <c r="A4524" s="8" t="str">
        <f t="shared" si="80"/>
        <v>250023</v>
      </c>
      <c r="B4524" s="8" t="str">
        <f>"2561406011608"</f>
        <v>2561406011608</v>
      </c>
      <c r="C4524" s="8" t="s">
        <v>12</v>
      </c>
      <c r="D4524" s="9">
        <v>59.46</v>
      </c>
      <c r="E4524" s="8">
        <v>84</v>
      </c>
    </row>
    <row r="4525" s="3" customFormat="1" ht="18.75" spans="1:5">
      <c r="A4525" s="8" t="str">
        <f t="shared" si="80"/>
        <v>250023</v>
      </c>
      <c r="B4525" s="8" t="str">
        <f>"2561406011504"</f>
        <v>2561406011504</v>
      </c>
      <c r="C4525" s="8" t="s">
        <v>12</v>
      </c>
      <c r="D4525" s="9">
        <v>59.44</v>
      </c>
      <c r="E4525" s="8">
        <v>85</v>
      </c>
    </row>
    <row r="4526" s="3" customFormat="1" ht="18.75" spans="1:5">
      <c r="A4526" s="8" t="str">
        <f t="shared" si="80"/>
        <v>250023</v>
      </c>
      <c r="B4526" s="8" t="str">
        <f>"2561406010803"</f>
        <v>2561406010803</v>
      </c>
      <c r="C4526" s="8" t="s">
        <v>12</v>
      </c>
      <c r="D4526" s="9">
        <v>59.43</v>
      </c>
      <c r="E4526" s="8">
        <v>86</v>
      </c>
    </row>
    <row r="4527" s="3" customFormat="1" ht="18.75" spans="1:5">
      <c r="A4527" s="8" t="str">
        <f t="shared" si="80"/>
        <v>250023</v>
      </c>
      <c r="B4527" s="8" t="str">
        <f>"2561406010903"</f>
        <v>2561406010903</v>
      </c>
      <c r="C4527" s="8" t="s">
        <v>12</v>
      </c>
      <c r="D4527" s="9">
        <v>59.3</v>
      </c>
      <c r="E4527" s="8">
        <v>87</v>
      </c>
    </row>
    <row r="4528" s="3" customFormat="1" ht="18.75" spans="1:5">
      <c r="A4528" s="8" t="str">
        <f t="shared" si="80"/>
        <v>250023</v>
      </c>
      <c r="B4528" s="8" t="str">
        <f>"2561406010422"</f>
        <v>2561406010422</v>
      </c>
      <c r="C4528" s="8" t="s">
        <v>12</v>
      </c>
      <c r="D4528" s="9">
        <v>59.27</v>
      </c>
      <c r="E4528" s="8">
        <v>88</v>
      </c>
    </row>
    <row r="4529" s="3" customFormat="1" ht="18.75" spans="1:5">
      <c r="A4529" s="8" t="str">
        <f t="shared" si="80"/>
        <v>250023</v>
      </c>
      <c r="B4529" s="8" t="str">
        <f>"2561406010426"</f>
        <v>2561406010426</v>
      </c>
      <c r="C4529" s="8" t="s">
        <v>12</v>
      </c>
      <c r="D4529" s="9">
        <v>59.11</v>
      </c>
      <c r="E4529" s="8">
        <v>89</v>
      </c>
    </row>
    <row r="4530" s="3" customFormat="1" ht="18.75" spans="1:5">
      <c r="A4530" s="8" t="str">
        <f t="shared" si="80"/>
        <v>250023</v>
      </c>
      <c r="B4530" s="8" t="str">
        <f>"2561406010204"</f>
        <v>2561406010204</v>
      </c>
      <c r="C4530" s="8" t="s">
        <v>12</v>
      </c>
      <c r="D4530" s="9">
        <v>59.05</v>
      </c>
      <c r="E4530" s="8">
        <v>90</v>
      </c>
    </row>
    <row r="4531" s="3" customFormat="1" ht="18.75" spans="1:5">
      <c r="A4531" s="8" t="str">
        <f t="shared" si="80"/>
        <v>250023</v>
      </c>
      <c r="B4531" s="8" t="str">
        <f>"2561406011201"</f>
        <v>2561406011201</v>
      </c>
      <c r="C4531" s="8" t="s">
        <v>12</v>
      </c>
      <c r="D4531" s="9">
        <v>58.96</v>
      </c>
      <c r="E4531" s="8">
        <v>91</v>
      </c>
    </row>
    <row r="4532" s="3" customFormat="1" ht="18.75" spans="1:5">
      <c r="A4532" s="8" t="str">
        <f t="shared" si="80"/>
        <v>250023</v>
      </c>
      <c r="B4532" s="8" t="str">
        <f>"2561406011406"</f>
        <v>2561406011406</v>
      </c>
      <c r="C4532" s="8" t="s">
        <v>12</v>
      </c>
      <c r="D4532" s="9">
        <v>58.96</v>
      </c>
      <c r="E4532" s="8">
        <v>91</v>
      </c>
    </row>
    <row r="4533" s="3" customFormat="1" ht="18.75" spans="1:5">
      <c r="A4533" s="8" t="str">
        <f t="shared" si="80"/>
        <v>250023</v>
      </c>
      <c r="B4533" s="8" t="str">
        <f>"2561406011023"</f>
        <v>2561406011023</v>
      </c>
      <c r="C4533" s="8" t="s">
        <v>12</v>
      </c>
      <c r="D4533" s="9">
        <v>58.88</v>
      </c>
      <c r="E4533" s="8">
        <v>93</v>
      </c>
    </row>
    <row r="4534" s="3" customFormat="1" ht="18.75" spans="1:5">
      <c r="A4534" s="8" t="str">
        <f t="shared" si="80"/>
        <v>250023</v>
      </c>
      <c r="B4534" s="8" t="str">
        <f>"2561406011328"</f>
        <v>2561406011328</v>
      </c>
      <c r="C4534" s="8" t="s">
        <v>12</v>
      </c>
      <c r="D4534" s="9">
        <v>58.82</v>
      </c>
      <c r="E4534" s="8">
        <v>94</v>
      </c>
    </row>
    <row r="4535" s="3" customFormat="1" ht="18.75" spans="1:5">
      <c r="A4535" s="8" t="str">
        <f t="shared" si="80"/>
        <v>250023</v>
      </c>
      <c r="B4535" s="8" t="str">
        <f>"2561406011412"</f>
        <v>2561406011412</v>
      </c>
      <c r="C4535" s="8" t="s">
        <v>12</v>
      </c>
      <c r="D4535" s="9">
        <v>58.74</v>
      </c>
      <c r="E4535" s="8">
        <v>95</v>
      </c>
    </row>
    <row r="4536" s="3" customFormat="1" ht="18.75" spans="1:5">
      <c r="A4536" s="8" t="str">
        <f t="shared" si="80"/>
        <v>250023</v>
      </c>
      <c r="B4536" s="8" t="str">
        <f>"2561406011519"</f>
        <v>2561406011519</v>
      </c>
      <c r="C4536" s="8" t="s">
        <v>12</v>
      </c>
      <c r="D4536" s="9">
        <v>58.74</v>
      </c>
      <c r="E4536" s="8">
        <v>95</v>
      </c>
    </row>
    <row r="4537" s="3" customFormat="1" ht="18.75" spans="1:5">
      <c r="A4537" s="8" t="str">
        <f t="shared" si="80"/>
        <v>250023</v>
      </c>
      <c r="B4537" s="8" t="str">
        <f>"2561406010512"</f>
        <v>2561406010512</v>
      </c>
      <c r="C4537" s="8" t="s">
        <v>12</v>
      </c>
      <c r="D4537" s="9">
        <v>58.69</v>
      </c>
      <c r="E4537" s="8">
        <v>97</v>
      </c>
    </row>
    <row r="4538" s="3" customFormat="1" ht="18.75" spans="1:5">
      <c r="A4538" s="8" t="str">
        <f t="shared" si="80"/>
        <v>250023</v>
      </c>
      <c r="B4538" s="8" t="str">
        <f>"2561406010609"</f>
        <v>2561406010609</v>
      </c>
      <c r="C4538" s="8" t="s">
        <v>12</v>
      </c>
      <c r="D4538" s="9">
        <v>58.56</v>
      </c>
      <c r="E4538" s="8">
        <v>98</v>
      </c>
    </row>
    <row r="4539" s="3" customFormat="1" ht="18.75" spans="1:5">
      <c r="A4539" s="8" t="str">
        <f t="shared" si="80"/>
        <v>250023</v>
      </c>
      <c r="B4539" s="8" t="str">
        <f>"2561406010613"</f>
        <v>2561406010613</v>
      </c>
      <c r="C4539" s="8" t="s">
        <v>12</v>
      </c>
      <c r="D4539" s="9">
        <v>58.56</v>
      </c>
      <c r="E4539" s="8">
        <v>98</v>
      </c>
    </row>
    <row r="4540" s="3" customFormat="1" ht="18.75" spans="1:5">
      <c r="A4540" s="8" t="str">
        <f t="shared" si="80"/>
        <v>250023</v>
      </c>
      <c r="B4540" s="8" t="str">
        <f>"2561406011305"</f>
        <v>2561406011305</v>
      </c>
      <c r="C4540" s="8" t="s">
        <v>12</v>
      </c>
      <c r="D4540" s="9">
        <v>58.55</v>
      </c>
      <c r="E4540" s="8">
        <v>100</v>
      </c>
    </row>
    <row r="4541" s="3" customFormat="1" ht="18.75" spans="1:5">
      <c r="A4541" s="8" t="str">
        <f t="shared" si="80"/>
        <v>250023</v>
      </c>
      <c r="B4541" s="8" t="str">
        <f>"2561406011518"</f>
        <v>2561406011518</v>
      </c>
      <c r="C4541" s="8" t="s">
        <v>12</v>
      </c>
      <c r="D4541" s="9">
        <v>58.55</v>
      </c>
      <c r="E4541" s="8">
        <v>100</v>
      </c>
    </row>
    <row r="4542" s="3" customFormat="1" ht="18.75" spans="1:5">
      <c r="A4542" s="8" t="str">
        <f t="shared" si="80"/>
        <v>250023</v>
      </c>
      <c r="B4542" s="8" t="str">
        <f>"2561406010713"</f>
        <v>2561406010713</v>
      </c>
      <c r="C4542" s="8" t="s">
        <v>12</v>
      </c>
      <c r="D4542" s="9">
        <v>58.49</v>
      </c>
      <c r="E4542" s="8">
        <v>102</v>
      </c>
    </row>
    <row r="4543" s="3" customFormat="1" ht="18.75" spans="1:5">
      <c r="A4543" s="8" t="str">
        <f t="shared" si="80"/>
        <v>250023</v>
      </c>
      <c r="B4543" s="8" t="str">
        <f>"2561406010618"</f>
        <v>2561406010618</v>
      </c>
      <c r="C4543" s="8" t="s">
        <v>12</v>
      </c>
      <c r="D4543" s="9">
        <v>58.35</v>
      </c>
      <c r="E4543" s="8">
        <v>103</v>
      </c>
    </row>
    <row r="4544" s="3" customFormat="1" ht="18.75" spans="1:5">
      <c r="A4544" s="8" t="str">
        <f t="shared" si="80"/>
        <v>250023</v>
      </c>
      <c r="B4544" s="8" t="str">
        <f>"2561406010910"</f>
        <v>2561406010910</v>
      </c>
      <c r="C4544" s="8" t="s">
        <v>12</v>
      </c>
      <c r="D4544" s="9">
        <v>58.33</v>
      </c>
      <c r="E4544" s="8">
        <v>104</v>
      </c>
    </row>
    <row r="4545" s="3" customFormat="1" ht="18.75" spans="1:5">
      <c r="A4545" s="8" t="str">
        <f t="shared" si="80"/>
        <v>250023</v>
      </c>
      <c r="B4545" s="8" t="str">
        <f>"2561406011510"</f>
        <v>2561406011510</v>
      </c>
      <c r="C4545" s="8" t="s">
        <v>12</v>
      </c>
      <c r="D4545" s="9">
        <v>58.25</v>
      </c>
      <c r="E4545" s="8">
        <v>105</v>
      </c>
    </row>
    <row r="4546" s="3" customFormat="1" ht="18.75" spans="1:5">
      <c r="A4546" s="8" t="str">
        <f t="shared" si="80"/>
        <v>250023</v>
      </c>
      <c r="B4546" s="8" t="str">
        <f>"2561406010102"</f>
        <v>2561406010102</v>
      </c>
      <c r="C4546" s="8" t="s">
        <v>12</v>
      </c>
      <c r="D4546" s="9">
        <v>58.21</v>
      </c>
      <c r="E4546" s="8">
        <v>106</v>
      </c>
    </row>
    <row r="4547" s="3" customFormat="1" ht="18.75" spans="1:5">
      <c r="A4547" s="8" t="str">
        <f t="shared" si="80"/>
        <v>250023</v>
      </c>
      <c r="B4547" s="8" t="str">
        <f>"2561406011129"</f>
        <v>2561406011129</v>
      </c>
      <c r="C4547" s="8" t="s">
        <v>12</v>
      </c>
      <c r="D4547" s="9">
        <v>58.13</v>
      </c>
      <c r="E4547" s="8">
        <v>107</v>
      </c>
    </row>
    <row r="4548" s="3" customFormat="1" ht="18.75" spans="1:5">
      <c r="A4548" s="8" t="str">
        <f t="shared" si="80"/>
        <v>250023</v>
      </c>
      <c r="B4548" s="8" t="str">
        <f>"2561406010501"</f>
        <v>2561406010501</v>
      </c>
      <c r="C4548" s="8" t="s">
        <v>12</v>
      </c>
      <c r="D4548" s="9">
        <v>58.06</v>
      </c>
      <c r="E4548" s="8">
        <v>108</v>
      </c>
    </row>
    <row r="4549" s="3" customFormat="1" ht="18.75" spans="1:5">
      <c r="A4549" s="8" t="str">
        <f t="shared" si="80"/>
        <v>250023</v>
      </c>
      <c r="B4549" s="8" t="str">
        <f>"2561406011022"</f>
        <v>2561406011022</v>
      </c>
      <c r="C4549" s="8" t="s">
        <v>12</v>
      </c>
      <c r="D4549" s="9">
        <v>58.01</v>
      </c>
      <c r="E4549" s="8">
        <v>109</v>
      </c>
    </row>
    <row r="4550" s="3" customFormat="1" ht="18.75" spans="1:5">
      <c r="A4550" s="8" t="str">
        <f t="shared" si="80"/>
        <v>250023</v>
      </c>
      <c r="B4550" s="8" t="str">
        <f>"2561406011220"</f>
        <v>2561406011220</v>
      </c>
      <c r="C4550" s="8" t="s">
        <v>12</v>
      </c>
      <c r="D4550" s="9">
        <v>58.01</v>
      </c>
      <c r="E4550" s="8">
        <v>109</v>
      </c>
    </row>
    <row r="4551" s="3" customFormat="1" ht="18.75" spans="1:5">
      <c r="A4551" s="8" t="str">
        <f t="shared" si="80"/>
        <v>250023</v>
      </c>
      <c r="B4551" s="8" t="str">
        <f>"2561406011307"</f>
        <v>2561406011307</v>
      </c>
      <c r="C4551" s="8" t="s">
        <v>12</v>
      </c>
      <c r="D4551" s="9">
        <v>57.95</v>
      </c>
      <c r="E4551" s="8">
        <v>111</v>
      </c>
    </row>
    <row r="4552" s="3" customFormat="1" ht="18.75" spans="1:5">
      <c r="A4552" s="8" t="str">
        <f t="shared" si="80"/>
        <v>250023</v>
      </c>
      <c r="B4552" s="8" t="str">
        <f>"2561406010602"</f>
        <v>2561406010602</v>
      </c>
      <c r="C4552" s="8" t="s">
        <v>12</v>
      </c>
      <c r="D4552" s="9">
        <v>57.94</v>
      </c>
      <c r="E4552" s="8">
        <v>112</v>
      </c>
    </row>
    <row r="4553" s="3" customFormat="1" ht="18.75" spans="1:5">
      <c r="A4553" s="8" t="str">
        <f t="shared" si="80"/>
        <v>250023</v>
      </c>
      <c r="B4553" s="8" t="str">
        <f>"2561406011103"</f>
        <v>2561406011103</v>
      </c>
      <c r="C4553" s="8" t="s">
        <v>12</v>
      </c>
      <c r="D4553" s="9">
        <v>57.93</v>
      </c>
      <c r="E4553" s="8">
        <v>113</v>
      </c>
    </row>
    <row r="4554" s="3" customFormat="1" ht="18.75" spans="1:5">
      <c r="A4554" s="8" t="str">
        <f t="shared" si="80"/>
        <v>250023</v>
      </c>
      <c r="B4554" s="8" t="str">
        <f>"2561406010918"</f>
        <v>2561406010918</v>
      </c>
      <c r="C4554" s="8" t="s">
        <v>12</v>
      </c>
      <c r="D4554" s="9">
        <v>57.86</v>
      </c>
      <c r="E4554" s="8">
        <v>114</v>
      </c>
    </row>
    <row r="4555" s="3" customFormat="1" ht="18.75" spans="1:5">
      <c r="A4555" s="8" t="str">
        <f t="shared" si="80"/>
        <v>250023</v>
      </c>
      <c r="B4555" s="8" t="str">
        <f>"2561406010626"</f>
        <v>2561406010626</v>
      </c>
      <c r="C4555" s="8" t="s">
        <v>12</v>
      </c>
      <c r="D4555" s="9">
        <v>57.84</v>
      </c>
      <c r="E4555" s="8">
        <v>115</v>
      </c>
    </row>
    <row r="4556" s="3" customFormat="1" ht="18.75" spans="1:5">
      <c r="A4556" s="8" t="str">
        <f t="shared" si="80"/>
        <v>250023</v>
      </c>
      <c r="B4556" s="8" t="str">
        <f>"2561406010907"</f>
        <v>2561406010907</v>
      </c>
      <c r="C4556" s="8" t="s">
        <v>12</v>
      </c>
      <c r="D4556" s="9">
        <v>57.8</v>
      </c>
      <c r="E4556" s="8">
        <v>116</v>
      </c>
    </row>
    <row r="4557" s="3" customFormat="1" ht="18.75" spans="1:5">
      <c r="A4557" s="8" t="str">
        <f t="shared" si="80"/>
        <v>250023</v>
      </c>
      <c r="B4557" s="8" t="str">
        <f>"2561406011021"</f>
        <v>2561406011021</v>
      </c>
      <c r="C4557" s="8" t="s">
        <v>12</v>
      </c>
      <c r="D4557" s="9">
        <v>57.74</v>
      </c>
      <c r="E4557" s="8">
        <v>117</v>
      </c>
    </row>
    <row r="4558" s="3" customFormat="1" ht="18.75" spans="1:5">
      <c r="A4558" s="8" t="str">
        <f t="shared" si="80"/>
        <v>250023</v>
      </c>
      <c r="B4558" s="8" t="str">
        <f>"2561406010510"</f>
        <v>2561406010510</v>
      </c>
      <c r="C4558" s="8" t="s">
        <v>12</v>
      </c>
      <c r="D4558" s="9">
        <v>57.6</v>
      </c>
      <c r="E4558" s="8">
        <v>118</v>
      </c>
    </row>
    <row r="4559" s="3" customFormat="1" ht="18.75" spans="1:5">
      <c r="A4559" s="8" t="str">
        <f t="shared" si="80"/>
        <v>250023</v>
      </c>
      <c r="B4559" s="8" t="str">
        <f>"2561406011224"</f>
        <v>2561406011224</v>
      </c>
      <c r="C4559" s="8" t="s">
        <v>12</v>
      </c>
      <c r="D4559" s="9">
        <v>57.57</v>
      </c>
      <c r="E4559" s="8">
        <v>119</v>
      </c>
    </row>
    <row r="4560" s="3" customFormat="1" ht="18.75" spans="1:5">
      <c r="A4560" s="8" t="str">
        <f t="shared" si="80"/>
        <v>250023</v>
      </c>
      <c r="B4560" s="8" t="str">
        <f>"2561406010515"</f>
        <v>2561406010515</v>
      </c>
      <c r="C4560" s="8" t="s">
        <v>12</v>
      </c>
      <c r="D4560" s="9">
        <v>57.51</v>
      </c>
      <c r="E4560" s="8">
        <v>120</v>
      </c>
    </row>
    <row r="4561" s="3" customFormat="1" ht="18.75" spans="1:5">
      <c r="A4561" s="8" t="str">
        <f t="shared" si="80"/>
        <v>250023</v>
      </c>
      <c r="B4561" s="8" t="str">
        <f>"2561406011515"</f>
        <v>2561406011515</v>
      </c>
      <c r="C4561" s="8" t="s">
        <v>12</v>
      </c>
      <c r="D4561" s="9">
        <v>57.42</v>
      </c>
      <c r="E4561" s="8">
        <v>121</v>
      </c>
    </row>
    <row r="4562" s="3" customFormat="1" ht="18.75" spans="1:5">
      <c r="A4562" s="8" t="str">
        <f t="shared" si="80"/>
        <v>250023</v>
      </c>
      <c r="B4562" s="8" t="str">
        <f>"2561406010519"</f>
        <v>2561406010519</v>
      </c>
      <c r="C4562" s="8" t="s">
        <v>12</v>
      </c>
      <c r="D4562" s="9">
        <v>57.37</v>
      </c>
      <c r="E4562" s="8">
        <v>122</v>
      </c>
    </row>
    <row r="4563" s="3" customFormat="1" ht="18.75" spans="1:5">
      <c r="A4563" s="8" t="str">
        <f t="shared" si="80"/>
        <v>250023</v>
      </c>
      <c r="B4563" s="8" t="str">
        <f>"2561406011018"</f>
        <v>2561406011018</v>
      </c>
      <c r="C4563" s="8" t="s">
        <v>12</v>
      </c>
      <c r="D4563" s="9">
        <v>57.34</v>
      </c>
      <c r="E4563" s="8">
        <v>123</v>
      </c>
    </row>
    <row r="4564" s="3" customFormat="1" ht="18.75" spans="1:5">
      <c r="A4564" s="8" t="str">
        <f t="shared" si="80"/>
        <v>250023</v>
      </c>
      <c r="B4564" s="8" t="str">
        <f>"2561406011104"</f>
        <v>2561406011104</v>
      </c>
      <c r="C4564" s="8" t="s">
        <v>12</v>
      </c>
      <c r="D4564" s="9">
        <v>57.31</v>
      </c>
      <c r="E4564" s="8">
        <v>124</v>
      </c>
    </row>
    <row r="4565" s="3" customFormat="1" ht="18.75" spans="1:5">
      <c r="A4565" s="8" t="str">
        <f t="shared" si="80"/>
        <v>250023</v>
      </c>
      <c r="B4565" s="8" t="str">
        <f>"2561406010621"</f>
        <v>2561406010621</v>
      </c>
      <c r="C4565" s="8" t="s">
        <v>12</v>
      </c>
      <c r="D4565" s="9">
        <v>57.28</v>
      </c>
      <c r="E4565" s="8">
        <v>125</v>
      </c>
    </row>
    <row r="4566" s="3" customFormat="1" ht="18.75" spans="1:5">
      <c r="A4566" s="8" t="str">
        <f t="shared" si="80"/>
        <v>250023</v>
      </c>
      <c r="B4566" s="8" t="str">
        <f>"2561406010316"</f>
        <v>2561406010316</v>
      </c>
      <c r="C4566" s="8" t="s">
        <v>12</v>
      </c>
      <c r="D4566" s="9">
        <v>57.13</v>
      </c>
      <c r="E4566" s="8">
        <v>126</v>
      </c>
    </row>
    <row r="4567" s="3" customFormat="1" ht="18.75" spans="1:5">
      <c r="A4567" s="8" t="str">
        <f t="shared" si="80"/>
        <v>250023</v>
      </c>
      <c r="B4567" s="8" t="str">
        <f>"2561406011116"</f>
        <v>2561406011116</v>
      </c>
      <c r="C4567" s="8" t="s">
        <v>12</v>
      </c>
      <c r="D4567" s="9">
        <v>57.09</v>
      </c>
      <c r="E4567" s="8">
        <v>127</v>
      </c>
    </row>
    <row r="4568" s="3" customFormat="1" ht="18.75" spans="1:5">
      <c r="A4568" s="8" t="str">
        <f t="shared" si="80"/>
        <v>250023</v>
      </c>
      <c r="B4568" s="8" t="str">
        <f>"2561406011411"</f>
        <v>2561406011411</v>
      </c>
      <c r="C4568" s="8" t="s">
        <v>12</v>
      </c>
      <c r="D4568" s="9">
        <v>57.04</v>
      </c>
      <c r="E4568" s="8">
        <v>128</v>
      </c>
    </row>
    <row r="4569" s="3" customFormat="1" ht="18.75" spans="1:5">
      <c r="A4569" s="8" t="str">
        <f t="shared" ref="A4569:A4632" si="81">"250023"</f>
        <v>250023</v>
      </c>
      <c r="B4569" s="8" t="str">
        <f>"2561406010527"</f>
        <v>2561406010527</v>
      </c>
      <c r="C4569" s="8" t="s">
        <v>12</v>
      </c>
      <c r="D4569" s="9">
        <v>56.96</v>
      </c>
      <c r="E4569" s="8">
        <v>129</v>
      </c>
    </row>
    <row r="4570" s="3" customFormat="1" ht="18.75" spans="1:5">
      <c r="A4570" s="8" t="str">
        <f t="shared" si="81"/>
        <v>250023</v>
      </c>
      <c r="B4570" s="8" t="str">
        <f>"2561406011017"</f>
        <v>2561406011017</v>
      </c>
      <c r="C4570" s="8" t="s">
        <v>12</v>
      </c>
      <c r="D4570" s="9">
        <v>56.88</v>
      </c>
      <c r="E4570" s="8">
        <v>130</v>
      </c>
    </row>
    <row r="4571" s="3" customFormat="1" ht="18.75" spans="1:5">
      <c r="A4571" s="8" t="str">
        <f t="shared" si="81"/>
        <v>250023</v>
      </c>
      <c r="B4571" s="8" t="str">
        <f>"2561406010116"</f>
        <v>2561406010116</v>
      </c>
      <c r="C4571" s="8" t="s">
        <v>12</v>
      </c>
      <c r="D4571" s="9">
        <v>56.86</v>
      </c>
      <c r="E4571" s="8">
        <v>131</v>
      </c>
    </row>
    <row r="4572" s="3" customFormat="1" ht="18.75" spans="1:5">
      <c r="A4572" s="8" t="str">
        <f t="shared" si="81"/>
        <v>250023</v>
      </c>
      <c r="B4572" s="8" t="str">
        <f>"2561406010406"</f>
        <v>2561406010406</v>
      </c>
      <c r="C4572" s="8" t="s">
        <v>12</v>
      </c>
      <c r="D4572" s="9">
        <v>56.8</v>
      </c>
      <c r="E4572" s="8">
        <v>132</v>
      </c>
    </row>
    <row r="4573" s="3" customFormat="1" ht="18.75" spans="1:5">
      <c r="A4573" s="8" t="str">
        <f t="shared" si="81"/>
        <v>250023</v>
      </c>
      <c r="B4573" s="8" t="str">
        <f>"2561406010714"</f>
        <v>2561406010714</v>
      </c>
      <c r="C4573" s="8" t="s">
        <v>12</v>
      </c>
      <c r="D4573" s="9">
        <v>56.78</v>
      </c>
      <c r="E4573" s="8">
        <v>133</v>
      </c>
    </row>
    <row r="4574" s="3" customFormat="1" ht="18.75" spans="1:5">
      <c r="A4574" s="8" t="str">
        <f t="shared" si="81"/>
        <v>250023</v>
      </c>
      <c r="B4574" s="8" t="str">
        <f>"2561406011126"</f>
        <v>2561406011126</v>
      </c>
      <c r="C4574" s="8" t="s">
        <v>12</v>
      </c>
      <c r="D4574" s="9">
        <v>56.68</v>
      </c>
      <c r="E4574" s="8">
        <v>134</v>
      </c>
    </row>
    <row r="4575" s="3" customFormat="1" ht="18.75" spans="1:5">
      <c r="A4575" s="8" t="str">
        <f t="shared" si="81"/>
        <v>250023</v>
      </c>
      <c r="B4575" s="8" t="str">
        <f>"2561406010606"</f>
        <v>2561406010606</v>
      </c>
      <c r="C4575" s="8" t="s">
        <v>12</v>
      </c>
      <c r="D4575" s="9">
        <v>56.67</v>
      </c>
      <c r="E4575" s="8">
        <v>135</v>
      </c>
    </row>
    <row r="4576" s="3" customFormat="1" ht="18.75" spans="1:5">
      <c r="A4576" s="8" t="str">
        <f t="shared" si="81"/>
        <v>250023</v>
      </c>
      <c r="B4576" s="8" t="str">
        <f>"2561406010514"</f>
        <v>2561406010514</v>
      </c>
      <c r="C4576" s="8" t="s">
        <v>12</v>
      </c>
      <c r="D4576" s="9">
        <v>56.62</v>
      </c>
      <c r="E4576" s="8">
        <v>136</v>
      </c>
    </row>
    <row r="4577" s="3" customFormat="1" ht="18.75" spans="1:5">
      <c r="A4577" s="8" t="str">
        <f t="shared" si="81"/>
        <v>250023</v>
      </c>
      <c r="B4577" s="8" t="str">
        <f>"2561406010114"</f>
        <v>2561406010114</v>
      </c>
      <c r="C4577" s="8" t="s">
        <v>12</v>
      </c>
      <c r="D4577" s="9">
        <v>56.54</v>
      </c>
      <c r="E4577" s="8">
        <v>137</v>
      </c>
    </row>
    <row r="4578" s="3" customFormat="1" ht="18.75" spans="1:5">
      <c r="A4578" s="8" t="str">
        <f t="shared" si="81"/>
        <v>250023</v>
      </c>
      <c r="B4578" s="8" t="str">
        <f>"2561406011214"</f>
        <v>2561406011214</v>
      </c>
      <c r="C4578" s="8" t="s">
        <v>12</v>
      </c>
      <c r="D4578" s="9">
        <v>56.53</v>
      </c>
      <c r="E4578" s="8">
        <v>138</v>
      </c>
    </row>
    <row r="4579" s="3" customFormat="1" ht="18.75" spans="1:5">
      <c r="A4579" s="8" t="str">
        <f t="shared" si="81"/>
        <v>250023</v>
      </c>
      <c r="B4579" s="8" t="str">
        <f>"2561406011318"</f>
        <v>2561406011318</v>
      </c>
      <c r="C4579" s="8" t="s">
        <v>12</v>
      </c>
      <c r="D4579" s="9">
        <v>56.32</v>
      </c>
      <c r="E4579" s="8">
        <v>139</v>
      </c>
    </row>
    <row r="4580" s="3" customFormat="1" ht="18.75" spans="1:5">
      <c r="A4580" s="8" t="str">
        <f t="shared" si="81"/>
        <v>250023</v>
      </c>
      <c r="B4580" s="8" t="str">
        <f>"2561406010507"</f>
        <v>2561406010507</v>
      </c>
      <c r="C4580" s="8" t="s">
        <v>12</v>
      </c>
      <c r="D4580" s="9">
        <v>56.23</v>
      </c>
      <c r="E4580" s="8">
        <v>140</v>
      </c>
    </row>
    <row r="4581" s="3" customFormat="1" ht="18.75" spans="1:5">
      <c r="A4581" s="8" t="str">
        <f t="shared" si="81"/>
        <v>250023</v>
      </c>
      <c r="B4581" s="8" t="str">
        <f>"2561406011526"</f>
        <v>2561406011526</v>
      </c>
      <c r="C4581" s="8" t="s">
        <v>12</v>
      </c>
      <c r="D4581" s="9">
        <v>56.13</v>
      </c>
      <c r="E4581" s="8">
        <v>141</v>
      </c>
    </row>
    <row r="4582" s="3" customFormat="1" ht="18.75" spans="1:5">
      <c r="A4582" s="8" t="str">
        <f t="shared" si="81"/>
        <v>250023</v>
      </c>
      <c r="B4582" s="8" t="str">
        <f>"2561406010905"</f>
        <v>2561406010905</v>
      </c>
      <c r="C4582" s="8" t="s">
        <v>12</v>
      </c>
      <c r="D4582" s="9">
        <v>56.07</v>
      </c>
      <c r="E4582" s="8">
        <v>142</v>
      </c>
    </row>
    <row r="4583" s="3" customFormat="1" ht="18.75" spans="1:5">
      <c r="A4583" s="8" t="str">
        <f t="shared" si="81"/>
        <v>250023</v>
      </c>
      <c r="B4583" s="8" t="str">
        <f>"2561406010827"</f>
        <v>2561406010827</v>
      </c>
      <c r="C4583" s="8" t="s">
        <v>12</v>
      </c>
      <c r="D4583" s="9">
        <v>56.06</v>
      </c>
      <c r="E4583" s="8">
        <v>143</v>
      </c>
    </row>
    <row r="4584" s="3" customFormat="1" ht="18.75" spans="1:5">
      <c r="A4584" s="8" t="str">
        <f t="shared" si="81"/>
        <v>250023</v>
      </c>
      <c r="B4584" s="8" t="str">
        <f>"2561406010710"</f>
        <v>2561406010710</v>
      </c>
      <c r="C4584" s="8" t="s">
        <v>12</v>
      </c>
      <c r="D4584" s="9">
        <v>56.03</v>
      </c>
      <c r="E4584" s="8">
        <v>144</v>
      </c>
    </row>
    <row r="4585" s="3" customFormat="1" ht="18.75" spans="1:5">
      <c r="A4585" s="8" t="str">
        <f t="shared" si="81"/>
        <v>250023</v>
      </c>
      <c r="B4585" s="8" t="str">
        <f>"2561406010414"</f>
        <v>2561406010414</v>
      </c>
      <c r="C4585" s="8" t="s">
        <v>12</v>
      </c>
      <c r="D4585" s="9">
        <v>55.94</v>
      </c>
      <c r="E4585" s="8">
        <v>145</v>
      </c>
    </row>
    <row r="4586" s="3" customFormat="1" ht="18.75" spans="1:5">
      <c r="A4586" s="8" t="str">
        <f t="shared" si="81"/>
        <v>250023</v>
      </c>
      <c r="B4586" s="8" t="str">
        <f>"2561406010721"</f>
        <v>2561406010721</v>
      </c>
      <c r="C4586" s="8" t="s">
        <v>12</v>
      </c>
      <c r="D4586" s="9">
        <v>55.94</v>
      </c>
      <c r="E4586" s="8">
        <v>145</v>
      </c>
    </row>
    <row r="4587" s="3" customFormat="1" ht="18.75" spans="1:5">
      <c r="A4587" s="8" t="str">
        <f t="shared" si="81"/>
        <v>250023</v>
      </c>
      <c r="B4587" s="8" t="str">
        <f>"2561406011525"</f>
        <v>2561406011525</v>
      </c>
      <c r="C4587" s="8" t="s">
        <v>12</v>
      </c>
      <c r="D4587" s="9">
        <v>55.81</v>
      </c>
      <c r="E4587" s="8">
        <v>147</v>
      </c>
    </row>
    <row r="4588" s="3" customFormat="1" ht="18.75" spans="1:5">
      <c r="A4588" s="8" t="str">
        <f t="shared" si="81"/>
        <v>250023</v>
      </c>
      <c r="B4588" s="8" t="str">
        <f>"2561406011320"</f>
        <v>2561406011320</v>
      </c>
      <c r="C4588" s="8" t="s">
        <v>12</v>
      </c>
      <c r="D4588" s="9">
        <v>55.71</v>
      </c>
      <c r="E4588" s="8">
        <v>148</v>
      </c>
    </row>
    <row r="4589" s="3" customFormat="1" ht="18.75" spans="1:5">
      <c r="A4589" s="8" t="str">
        <f t="shared" si="81"/>
        <v>250023</v>
      </c>
      <c r="B4589" s="8" t="str">
        <f>"2561406010216"</f>
        <v>2561406010216</v>
      </c>
      <c r="C4589" s="8" t="s">
        <v>12</v>
      </c>
      <c r="D4589" s="9">
        <v>55.67</v>
      </c>
      <c r="E4589" s="8">
        <v>149</v>
      </c>
    </row>
    <row r="4590" s="3" customFormat="1" ht="18.75" spans="1:5">
      <c r="A4590" s="8" t="str">
        <f t="shared" si="81"/>
        <v>250023</v>
      </c>
      <c r="B4590" s="8" t="str">
        <f>"2561406011105"</f>
        <v>2561406011105</v>
      </c>
      <c r="C4590" s="8" t="s">
        <v>12</v>
      </c>
      <c r="D4590" s="9">
        <v>55.58</v>
      </c>
      <c r="E4590" s="8">
        <v>150</v>
      </c>
    </row>
    <row r="4591" s="3" customFormat="1" ht="18.75" spans="1:5">
      <c r="A4591" s="8" t="str">
        <f t="shared" si="81"/>
        <v>250023</v>
      </c>
      <c r="B4591" s="8" t="str">
        <f>"2561406010904"</f>
        <v>2561406010904</v>
      </c>
      <c r="C4591" s="8" t="s">
        <v>12</v>
      </c>
      <c r="D4591" s="9">
        <v>55.56</v>
      </c>
      <c r="E4591" s="8">
        <v>151</v>
      </c>
    </row>
    <row r="4592" s="3" customFormat="1" ht="18.75" spans="1:5">
      <c r="A4592" s="8" t="str">
        <f t="shared" si="81"/>
        <v>250023</v>
      </c>
      <c r="B4592" s="8" t="str">
        <f>"2561406010615"</f>
        <v>2561406010615</v>
      </c>
      <c r="C4592" s="8" t="s">
        <v>12</v>
      </c>
      <c r="D4592" s="9">
        <v>55.54</v>
      </c>
      <c r="E4592" s="8">
        <v>152</v>
      </c>
    </row>
    <row r="4593" s="3" customFormat="1" ht="18.75" spans="1:5">
      <c r="A4593" s="8" t="str">
        <f t="shared" si="81"/>
        <v>250023</v>
      </c>
      <c r="B4593" s="8" t="str">
        <f>"2561406010914"</f>
        <v>2561406010914</v>
      </c>
      <c r="C4593" s="8" t="s">
        <v>12</v>
      </c>
      <c r="D4593" s="9">
        <v>55.54</v>
      </c>
      <c r="E4593" s="8">
        <v>152</v>
      </c>
    </row>
    <row r="4594" s="3" customFormat="1" ht="18.75" spans="1:5">
      <c r="A4594" s="8" t="str">
        <f t="shared" si="81"/>
        <v>250023</v>
      </c>
      <c r="B4594" s="8" t="str">
        <f>"2561406011210"</f>
        <v>2561406011210</v>
      </c>
      <c r="C4594" s="8" t="s">
        <v>12</v>
      </c>
      <c r="D4594" s="9">
        <v>55.53</v>
      </c>
      <c r="E4594" s="8">
        <v>154</v>
      </c>
    </row>
    <row r="4595" s="3" customFormat="1" ht="18.75" spans="1:5">
      <c r="A4595" s="8" t="str">
        <f t="shared" si="81"/>
        <v>250023</v>
      </c>
      <c r="B4595" s="8" t="str">
        <f>"2561406011118"</f>
        <v>2561406011118</v>
      </c>
      <c r="C4595" s="8" t="s">
        <v>12</v>
      </c>
      <c r="D4595" s="9">
        <v>55.51</v>
      </c>
      <c r="E4595" s="8">
        <v>155</v>
      </c>
    </row>
    <row r="4596" s="3" customFormat="1" ht="18.75" spans="1:5">
      <c r="A4596" s="8" t="str">
        <f t="shared" si="81"/>
        <v>250023</v>
      </c>
      <c r="B4596" s="8" t="str">
        <f>"2561406010522"</f>
        <v>2561406010522</v>
      </c>
      <c r="C4596" s="8" t="s">
        <v>12</v>
      </c>
      <c r="D4596" s="9">
        <v>55.33</v>
      </c>
      <c r="E4596" s="8">
        <v>156</v>
      </c>
    </row>
    <row r="4597" s="3" customFormat="1" ht="18.75" spans="1:5">
      <c r="A4597" s="8" t="str">
        <f t="shared" si="81"/>
        <v>250023</v>
      </c>
      <c r="B4597" s="8" t="str">
        <f>"2561406010813"</f>
        <v>2561406010813</v>
      </c>
      <c r="C4597" s="8" t="s">
        <v>12</v>
      </c>
      <c r="D4597" s="9">
        <v>55.33</v>
      </c>
      <c r="E4597" s="8">
        <v>156</v>
      </c>
    </row>
    <row r="4598" s="3" customFormat="1" ht="18.75" spans="1:5">
      <c r="A4598" s="8" t="str">
        <f t="shared" si="81"/>
        <v>250023</v>
      </c>
      <c r="B4598" s="8" t="str">
        <f>"2561406010205"</f>
        <v>2561406010205</v>
      </c>
      <c r="C4598" s="8" t="s">
        <v>12</v>
      </c>
      <c r="D4598" s="9">
        <v>55.32</v>
      </c>
      <c r="E4598" s="8">
        <v>158</v>
      </c>
    </row>
    <row r="4599" s="3" customFormat="1" ht="18.75" spans="1:5">
      <c r="A4599" s="8" t="str">
        <f t="shared" si="81"/>
        <v>250023</v>
      </c>
      <c r="B4599" s="8" t="str">
        <f>"2561406011420"</f>
        <v>2561406011420</v>
      </c>
      <c r="C4599" s="8" t="s">
        <v>12</v>
      </c>
      <c r="D4599" s="9">
        <v>55.28</v>
      </c>
      <c r="E4599" s="8">
        <v>159</v>
      </c>
    </row>
    <row r="4600" s="3" customFormat="1" ht="18.75" spans="1:5">
      <c r="A4600" s="8" t="str">
        <f t="shared" si="81"/>
        <v>250023</v>
      </c>
      <c r="B4600" s="8" t="str">
        <f>"2561406010218"</f>
        <v>2561406010218</v>
      </c>
      <c r="C4600" s="8" t="s">
        <v>12</v>
      </c>
      <c r="D4600" s="9">
        <v>55.27</v>
      </c>
      <c r="E4600" s="8">
        <v>160</v>
      </c>
    </row>
    <row r="4601" s="3" customFormat="1" ht="18.75" spans="1:5">
      <c r="A4601" s="8" t="str">
        <f t="shared" si="81"/>
        <v>250023</v>
      </c>
      <c r="B4601" s="8" t="str">
        <f>"2561406010802"</f>
        <v>2561406010802</v>
      </c>
      <c r="C4601" s="8" t="s">
        <v>12</v>
      </c>
      <c r="D4601" s="9">
        <v>55.23</v>
      </c>
      <c r="E4601" s="8">
        <v>161</v>
      </c>
    </row>
    <row r="4602" s="3" customFormat="1" ht="18.75" spans="1:5">
      <c r="A4602" s="8" t="str">
        <f t="shared" si="81"/>
        <v>250023</v>
      </c>
      <c r="B4602" s="8" t="str">
        <f>"2561406010212"</f>
        <v>2561406010212</v>
      </c>
      <c r="C4602" s="8" t="s">
        <v>12</v>
      </c>
      <c r="D4602" s="9">
        <v>55.21</v>
      </c>
      <c r="E4602" s="8">
        <v>162</v>
      </c>
    </row>
    <row r="4603" s="3" customFormat="1" ht="18.75" spans="1:5">
      <c r="A4603" s="8" t="str">
        <f t="shared" si="81"/>
        <v>250023</v>
      </c>
      <c r="B4603" s="8" t="str">
        <f>"2561406010504"</f>
        <v>2561406010504</v>
      </c>
      <c r="C4603" s="8" t="s">
        <v>12</v>
      </c>
      <c r="D4603" s="9">
        <v>55.19</v>
      </c>
      <c r="E4603" s="8">
        <v>163</v>
      </c>
    </row>
    <row r="4604" s="3" customFormat="1" ht="18.75" spans="1:5">
      <c r="A4604" s="8" t="str">
        <f t="shared" si="81"/>
        <v>250023</v>
      </c>
      <c r="B4604" s="8" t="str">
        <f>"2561406011516"</f>
        <v>2561406011516</v>
      </c>
      <c r="C4604" s="8" t="s">
        <v>12</v>
      </c>
      <c r="D4604" s="9">
        <v>55.18</v>
      </c>
      <c r="E4604" s="8">
        <v>164</v>
      </c>
    </row>
    <row r="4605" s="3" customFormat="1" ht="18.75" spans="1:5">
      <c r="A4605" s="8" t="str">
        <f t="shared" si="81"/>
        <v>250023</v>
      </c>
      <c r="B4605" s="8" t="str">
        <f>"2561406010407"</f>
        <v>2561406010407</v>
      </c>
      <c r="C4605" s="8" t="s">
        <v>12</v>
      </c>
      <c r="D4605" s="9">
        <v>55.09</v>
      </c>
      <c r="E4605" s="8">
        <v>165</v>
      </c>
    </row>
    <row r="4606" s="3" customFormat="1" ht="18.75" spans="1:5">
      <c r="A4606" s="8" t="str">
        <f t="shared" si="81"/>
        <v>250023</v>
      </c>
      <c r="B4606" s="8" t="str">
        <f>"2561406011404"</f>
        <v>2561406011404</v>
      </c>
      <c r="C4606" s="8" t="s">
        <v>12</v>
      </c>
      <c r="D4606" s="9">
        <v>55.05</v>
      </c>
      <c r="E4606" s="8">
        <v>166</v>
      </c>
    </row>
    <row r="4607" s="3" customFormat="1" ht="18.75" spans="1:5">
      <c r="A4607" s="8" t="str">
        <f t="shared" si="81"/>
        <v>250023</v>
      </c>
      <c r="B4607" s="8" t="str">
        <f>"2561406011207"</f>
        <v>2561406011207</v>
      </c>
      <c r="C4607" s="8" t="s">
        <v>12</v>
      </c>
      <c r="D4607" s="9">
        <v>54.81</v>
      </c>
      <c r="E4607" s="8">
        <v>167</v>
      </c>
    </row>
    <row r="4608" s="3" customFormat="1" ht="18.75" spans="1:5">
      <c r="A4608" s="8" t="str">
        <f t="shared" si="81"/>
        <v>250023</v>
      </c>
      <c r="B4608" s="8" t="str">
        <f>"2561406010913"</f>
        <v>2561406010913</v>
      </c>
      <c r="C4608" s="8" t="s">
        <v>12</v>
      </c>
      <c r="D4608" s="9">
        <v>54.79</v>
      </c>
      <c r="E4608" s="8">
        <v>168</v>
      </c>
    </row>
    <row r="4609" s="3" customFormat="1" ht="18.75" spans="1:5">
      <c r="A4609" s="8" t="str">
        <f t="shared" si="81"/>
        <v>250023</v>
      </c>
      <c r="B4609" s="8" t="str">
        <f>"2561406011009"</f>
        <v>2561406011009</v>
      </c>
      <c r="C4609" s="8" t="s">
        <v>12</v>
      </c>
      <c r="D4609" s="9">
        <v>54.75</v>
      </c>
      <c r="E4609" s="8">
        <v>169</v>
      </c>
    </row>
    <row r="4610" s="3" customFormat="1" ht="18.75" spans="1:5">
      <c r="A4610" s="8" t="str">
        <f t="shared" si="81"/>
        <v>250023</v>
      </c>
      <c r="B4610" s="8" t="str">
        <f>"2561406010727"</f>
        <v>2561406010727</v>
      </c>
      <c r="C4610" s="8" t="s">
        <v>12</v>
      </c>
      <c r="D4610" s="9">
        <v>54.65</v>
      </c>
      <c r="E4610" s="8">
        <v>170</v>
      </c>
    </row>
    <row r="4611" s="3" customFormat="1" ht="18.75" spans="1:5">
      <c r="A4611" s="8" t="str">
        <f t="shared" si="81"/>
        <v>250023</v>
      </c>
      <c r="B4611" s="8" t="str">
        <f>"2561406010402"</f>
        <v>2561406010402</v>
      </c>
      <c r="C4611" s="8" t="s">
        <v>12</v>
      </c>
      <c r="D4611" s="9">
        <v>54.58</v>
      </c>
      <c r="E4611" s="8">
        <v>171</v>
      </c>
    </row>
    <row r="4612" s="3" customFormat="1" ht="18.75" spans="1:5">
      <c r="A4612" s="8" t="str">
        <f t="shared" si="81"/>
        <v>250023</v>
      </c>
      <c r="B4612" s="8" t="str">
        <f>"2561406011205"</f>
        <v>2561406011205</v>
      </c>
      <c r="C4612" s="8" t="s">
        <v>12</v>
      </c>
      <c r="D4612" s="9">
        <v>54.53</v>
      </c>
      <c r="E4612" s="8">
        <v>172</v>
      </c>
    </row>
    <row r="4613" s="3" customFormat="1" ht="18.75" spans="1:5">
      <c r="A4613" s="8" t="str">
        <f t="shared" si="81"/>
        <v>250023</v>
      </c>
      <c r="B4613" s="8" t="str">
        <f>"2561406011325"</f>
        <v>2561406011325</v>
      </c>
      <c r="C4613" s="8" t="s">
        <v>12</v>
      </c>
      <c r="D4613" s="9">
        <v>54.5</v>
      </c>
      <c r="E4613" s="8">
        <v>173</v>
      </c>
    </row>
    <row r="4614" s="3" customFormat="1" ht="18.75" spans="1:5">
      <c r="A4614" s="8" t="str">
        <f t="shared" si="81"/>
        <v>250023</v>
      </c>
      <c r="B4614" s="8" t="str">
        <f>"2561406011122"</f>
        <v>2561406011122</v>
      </c>
      <c r="C4614" s="8" t="s">
        <v>12</v>
      </c>
      <c r="D4614" s="9">
        <v>54.48</v>
      </c>
      <c r="E4614" s="8">
        <v>174</v>
      </c>
    </row>
    <row r="4615" s="3" customFormat="1" ht="18.75" spans="1:5">
      <c r="A4615" s="8" t="str">
        <f t="shared" si="81"/>
        <v>250023</v>
      </c>
      <c r="B4615" s="8" t="str">
        <f>"2561406011324"</f>
        <v>2561406011324</v>
      </c>
      <c r="C4615" s="8" t="s">
        <v>12</v>
      </c>
      <c r="D4615" s="9">
        <v>54.48</v>
      </c>
      <c r="E4615" s="8">
        <v>174</v>
      </c>
    </row>
    <row r="4616" s="3" customFormat="1" ht="18.75" spans="1:5">
      <c r="A4616" s="8" t="str">
        <f t="shared" si="81"/>
        <v>250023</v>
      </c>
      <c r="B4616" s="8" t="str">
        <f>"2561406011402"</f>
        <v>2561406011402</v>
      </c>
      <c r="C4616" s="8" t="s">
        <v>12</v>
      </c>
      <c r="D4616" s="9">
        <v>54.43</v>
      </c>
      <c r="E4616" s="8">
        <v>176</v>
      </c>
    </row>
    <row r="4617" s="3" customFormat="1" ht="18.75" spans="1:5">
      <c r="A4617" s="8" t="str">
        <f t="shared" si="81"/>
        <v>250023</v>
      </c>
      <c r="B4617" s="8" t="str">
        <f>"2561406010323"</f>
        <v>2561406010323</v>
      </c>
      <c r="C4617" s="8" t="s">
        <v>12</v>
      </c>
      <c r="D4617" s="9">
        <v>54.42</v>
      </c>
      <c r="E4617" s="8">
        <v>177</v>
      </c>
    </row>
    <row r="4618" s="3" customFormat="1" ht="18.75" spans="1:5">
      <c r="A4618" s="8" t="str">
        <f t="shared" si="81"/>
        <v>250023</v>
      </c>
      <c r="B4618" s="8" t="str">
        <f>"2561406010814"</f>
        <v>2561406010814</v>
      </c>
      <c r="C4618" s="8" t="s">
        <v>12</v>
      </c>
      <c r="D4618" s="9">
        <v>54.25</v>
      </c>
      <c r="E4618" s="8">
        <v>178</v>
      </c>
    </row>
    <row r="4619" s="3" customFormat="1" ht="18.75" spans="1:5">
      <c r="A4619" s="8" t="str">
        <f t="shared" si="81"/>
        <v>250023</v>
      </c>
      <c r="B4619" s="8" t="str">
        <f>"2561406010801"</f>
        <v>2561406010801</v>
      </c>
      <c r="C4619" s="8" t="s">
        <v>12</v>
      </c>
      <c r="D4619" s="9">
        <v>54.24</v>
      </c>
      <c r="E4619" s="8">
        <v>179</v>
      </c>
    </row>
    <row r="4620" s="3" customFormat="1" ht="18.75" spans="1:5">
      <c r="A4620" s="8" t="str">
        <f t="shared" si="81"/>
        <v>250023</v>
      </c>
      <c r="B4620" s="8" t="str">
        <f>"2561406010112"</f>
        <v>2561406010112</v>
      </c>
      <c r="C4620" s="8" t="s">
        <v>12</v>
      </c>
      <c r="D4620" s="9">
        <v>54.11</v>
      </c>
      <c r="E4620" s="8">
        <v>180</v>
      </c>
    </row>
    <row r="4621" s="3" customFormat="1" ht="18.75" spans="1:5">
      <c r="A4621" s="8" t="str">
        <f t="shared" si="81"/>
        <v>250023</v>
      </c>
      <c r="B4621" s="8" t="str">
        <f>"2561406011517"</f>
        <v>2561406011517</v>
      </c>
      <c r="C4621" s="8" t="s">
        <v>12</v>
      </c>
      <c r="D4621" s="9">
        <v>54.02</v>
      </c>
      <c r="E4621" s="8">
        <v>181</v>
      </c>
    </row>
    <row r="4622" s="3" customFormat="1" ht="18.75" spans="1:5">
      <c r="A4622" s="8" t="str">
        <f t="shared" si="81"/>
        <v>250023</v>
      </c>
      <c r="B4622" s="8" t="str">
        <f>"2561406010330"</f>
        <v>2561406010330</v>
      </c>
      <c r="C4622" s="8" t="s">
        <v>12</v>
      </c>
      <c r="D4622" s="9">
        <v>53.97</v>
      </c>
      <c r="E4622" s="8">
        <v>182</v>
      </c>
    </row>
    <row r="4623" s="3" customFormat="1" ht="18.75" spans="1:5">
      <c r="A4623" s="8" t="str">
        <f t="shared" si="81"/>
        <v>250023</v>
      </c>
      <c r="B4623" s="8" t="str">
        <f>"2561406011106"</f>
        <v>2561406011106</v>
      </c>
      <c r="C4623" s="8" t="s">
        <v>12</v>
      </c>
      <c r="D4623" s="9">
        <v>53.78</v>
      </c>
      <c r="E4623" s="8">
        <v>183</v>
      </c>
    </row>
    <row r="4624" s="3" customFormat="1" ht="18.75" spans="1:5">
      <c r="A4624" s="8" t="str">
        <f t="shared" si="81"/>
        <v>250023</v>
      </c>
      <c r="B4624" s="8" t="str">
        <f>"2561406011119"</f>
        <v>2561406011119</v>
      </c>
      <c r="C4624" s="8" t="s">
        <v>12</v>
      </c>
      <c r="D4624" s="9">
        <v>53.76</v>
      </c>
      <c r="E4624" s="8">
        <v>184</v>
      </c>
    </row>
    <row r="4625" s="3" customFormat="1" ht="18.75" spans="1:5">
      <c r="A4625" s="8" t="str">
        <f t="shared" si="81"/>
        <v>250023</v>
      </c>
      <c r="B4625" s="8" t="str">
        <f>"2561406011314"</f>
        <v>2561406011314</v>
      </c>
      <c r="C4625" s="8" t="s">
        <v>12</v>
      </c>
      <c r="D4625" s="9">
        <v>53.43</v>
      </c>
      <c r="E4625" s="8">
        <v>185</v>
      </c>
    </row>
    <row r="4626" s="3" customFormat="1" ht="18.75" spans="1:5">
      <c r="A4626" s="8" t="str">
        <f t="shared" si="81"/>
        <v>250023</v>
      </c>
      <c r="B4626" s="8" t="str">
        <f>"2561406011528"</f>
        <v>2561406011528</v>
      </c>
      <c r="C4626" s="8" t="s">
        <v>12</v>
      </c>
      <c r="D4626" s="9">
        <v>53.38</v>
      </c>
      <c r="E4626" s="8">
        <v>186</v>
      </c>
    </row>
    <row r="4627" s="3" customFormat="1" ht="18.75" spans="1:5">
      <c r="A4627" s="8" t="str">
        <f t="shared" si="81"/>
        <v>250023</v>
      </c>
      <c r="B4627" s="8" t="str">
        <f>"2561406011206"</f>
        <v>2561406011206</v>
      </c>
      <c r="C4627" s="8" t="s">
        <v>12</v>
      </c>
      <c r="D4627" s="9">
        <v>53.32</v>
      </c>
      <c r="E4627" s="8">
        <v>187</v>
      </c>
    </row>
    <row r="4628" s="3" customFormat="1" ht="18.75" spans="1:5">
      <c r="A4628" s="8" t="str">
        <f t="shared" si="81"/>
        <v>250023</v>
      </c>
      <c r="B4628" s="8" t="str">
        <f>"2561406011102"</f>
        <v>2561406011102</v>
      </c>
      <c r="C4628" s="8" t="s">
        <v>12</v>
      </c>
      <c r="D4628" s="9">
        <v>53.3</v>
      </c>
      <c r="E4628" s="8">
        <v>188</v>
      </c>
    </row>
    <row r="4629" s="3" customFormat="1" ht="18.75" spans="1:5">
      <c r="A4629" s="8" t="str">
        <f t="shared" si="81"/>
        <v>250023</v>
      </c>
      <c r="B4629" s="8" t="str">
        <f>"2561406011301"</f>
        <v>2561406011301</v>
      </c>
      <c r="C4629" s="8" t="s">
        <v>12</v>
      </c>
      <c r="D4629" s="9">
        <v>53.18</v>
      </c>
      <c r="E4629" s="8">
        <v>189</v>
      </c>
    </row>
    <row r="4630" s="3" customFormat="1" ht="18.75" spans="1:5">
      <c r="A4630" s="8" t="str">
        <f t="shared" si="81"/>
        <v>250023</v>
      </c>
      <c r="B4630" s="8" t="str">
        <f>"2561406010601"</f>
        <v>2561406010601</v>
      </c>
      <c r="C4630" s="8" t="s">
        <v>12</v>
      </c>
      <c r="D4630" s="9">
        <v>53.17</v>
      </c>
      <c r="E4630" s="8">
        <v>190</v>
      </c>
    </row>
    <row r="4631" s="3" customFormat="1" ht="18.75" spans="1:5">
      <c r="A4631" s="8" t="str">
        <f t="shared" si="81"/>
        <v>250023</v>
      </c>
      <c r="B4631" s="8" t="str">
        <f>"2561406011203"</f>
        <v>2561406011203</v>
      </c>
      <c r="C4631" s="8" t="s">
        <v>12</v>
      </c>
      <c r="D4631" s="9">
        <v>53.08</v>
      </c>
      <c r="E4631" s="8">
        <v>191</v>
      </c>
    </row>
    <row r="4632" s="3" customFormat="1" ht="18.75" spans="1:5">
      <c r="A4632" s="8" t="str">
        <f t="shared" si="81"/>
        <v>250023</v>
      </c>
      <c r="B4632" s="8" t="str">
        <f>"2561406010230"</f>
        <v>2561406010230</v>
      </c>
      <c r="C4632" s="8" t="s">
        <v>12</v>
      </c>
      <c r="D4632" s="9">
        <v>52.95</v>
      </c>
      <c r="E4632" s="8">
        <v>192</v>
      </c>
    </row>
    <row r="4633" s="3" customFormat="1" ht="18.75" spans="1:5">
      <c r="A4633" s="8" t="str">
        <f t="shared" ref="A4633:A4696" si="82">"250023"</f>
        <v>250023</v>
      </c>
      <c r="B4633" s="8" t="str">
        <f>"2561406010104"</f>
        <v>2561406010104</v>
      </c>
      <c r="C4633" s="8" t="s">
        <v>12</v>
      </c>
      <c r="D4633" s="9">
        <v>52.89</v>
      </c>
      <c r="E4633" s="8">
        <v>193</v>
      </c>
    </row>
    <row r="4634" s="3" customFormat="1" ht="18.75" spans="1:5">
      <c r="A4634" s="8" t="str">
        <f t="shared" si="82"/>
        <v>250023</v>
      </c>
      <c r="B4634" s="8" t="str">
        <f>"2561406011020"</f>
        <v>2561406011020</v>
      </c>
      <c r="C4634" s="8" t="s">
        <v>12</v>
      </c>
      <c r="D4634" s="9">
        <v>52.82</v>
      </c>
      <c r="E4634" s="8">
        <v>194</v>
      </c>
    </row>
    <row r="4635" s="3" customFormat="1" ht="18.75" spans="1:5">
      <c r="A4635" s="8" t="str">
        <f t="shared" si="82"/>
        <v>250023</v>
      </c>
      <c r="B4635" s="8" t="str">
        <f>"2561406011605"</f>
        <v>2561406011605</v>
      </c>
      <c r="C4635" s="8" t="s">
        <v>12</v>
      </c>
      <c r="D4635" s="9">
        <v>52.79</v>
      </c>
      <c r="E4635" s="8">
        <v>195</v>
      </c>
    </row>
    <row r="4636" s="3" customFormat="1" ht="18.75" spans="1:5">
      <c r="A4636" s="8" t="str">
        <f t="shared" si="82"/>
        <v>250023</v>
      </c>
      <c r="B4636" s="8" t="str">
        <f>"2561406011212"</f>
        <v>2561406011212</v>
      </c>
      <c r="C4636" s="8" t="s">
        <v>12</v>
      </c>
      <c r="D4636" s="9">
        <v>52.76</v>
      </c>
      <c r="E4636" s="8">
        <v>196</v>
      </c>
    </row>
    <row r="4637" s="3" customFormat="1" ht="18.75" spans="1:5">
      <c r="A4637" s="8" t="str">
        <f t="shared" si="82"/>
        <v>250023</v>
      </c>
      <c r="B4637" s="8" t="str">
        <f>"2561406011001"</f>
        <v>2561406011001</v>
      </c>
      <c r="C4637" s="8" t="s">
        <v>12</v>
      </c>
      <c r="D4637" s="9">
        <v>52.67</v>
      </c>
      <c r="E4637" s="8">
        <v>197</v>
      </c>
    </row>
    <row r="4638" s="3" customFormat="1" ht="18.75" spans="1:5">
      <c r="A4638" s="8" t="str">
        <f t="shared" si="82"/>
        <v>250023</v>
      </c>
      <c r="B4638" s="8" t="str">
        <f>"2561406011409"</f>
        <v>2561406011409</v>
      </c>
      <c r="C4638" s="8" t="s">
        <v>12</v>
      </c>
      <c r="D4638" s="9">
        <v>52.66</v>
      </c>
      <c r="E4638" s="8">
        <v>198</v>
      </c>
    </row>
    <row r="4639" s="3" customFormat="1" ht="18.75" spans="1:5">
      <c r="A4639" s="8" t="str">
        <f t="shared" si="82"/>
        <v>250023</v>
      </c>
      <c r="B4639" s="8" t="str">
        <f>"2561406010617"</f>
        <v>2561406010617</v>
      </c>
      <c r="C4639" s="8" t="s">
        <v>12</v>
      </c>
      <c r="D4639" s="9">
        <v>52.57</v>
      </c>
      <c r="E4639" s="8">
        <v>199</v>
      </c>
    </row>
    <row r="4640" s="3" customFormat="1" ht="18.75" spans="1:5">
      <c r="A4640" s="8" t="str">
        <f t="shared" si="82"/>
        <v>250023</v>
      </c>
      <c r="B4640" s="8" t="str">
        <f>"2561406011424"</f>
        <v>2561406011424</v>
      </c>
      <c r="C4640" s="8" t="s">
        <v>12</v>
      </c>
      <c r="D4640" s="9">
        <v>52.54</v>
      </c>
      <c r="E4640" s="8">
        <v>200</v>
      </c>
    </row>
    <row r="4641" s="3" customFormat="1" ht="18.75" spans="1:5">
      <c r="A4641" s="8" t="str">
        <f t="shared" si="82"/>
        <v>250023</v>
      </c>
      <c r="B4641" s="8" t="str">
        <f>"2561406010909"</f>
        <v>2561406010909</v>
      </c>
      <c r="C4641" s="8" t="s">
        <v>12</v>
      </c>
      <c r="D4641" s="9">
        <v>52.44</v>
      </c>
      <c r="E4641" s="8">
        <v>201</v>
      </c>
    </row>
    <row r="4642" s="3" customFormat="1" ht="18.75" spans="1:5">
      <c r="A4642" s="8" t="str">
        <f t="shared" si="82"/>
        <v>250023</v>
      </c>
      <c r="B4642" s="8" t="str">
        <f>"2561406010110"</f>
        <v>2561406010110</v>
      </c>
      <c r="C4642" s="8" t="s">
        <v>12</v>
      </c>
      <c r="D4642" s="9">
        <v>52.33</v>
      </c>
      <c r="E4642" s="8">
        <v>202</v>
      </c>
    </row>
    <row r="4643" s="3" customFormat="1" ht="18.75" spans="1:5">
      <c r="A4643" s="8" t="str">
        <f t="shared" si="82"/>
        <v>250023</v>
      </c>
      <c r="B4643" s="8" t="str">
        <f>"2561406010113"</f>
        <v>2561406010113</v>
      </c>
      <c r="C4643" s="8" t="s">
        <v>12</v>
      </c>
      <c r="D4643" s="9">
        <v>52.17</v>
      </c>
      <c r="E4643" s="8">
        <v>203</v>
      </c>
    </row>
    <row r="4644" s="3" customFormat="1" ht="18.75" spans="1:5">
      <c r="A4644" s="8" t="str">
        <f t="shared" si="82"/>
        <v>250023</v>
      </c>
      <c r="B4644" s="8" t="str">
        <f>"2561406011508"</f>
        <v>2561406011508</v>
      </c>
      <c r="C4644" s="8" t="s">
        <v>12</v>
      </c>
      <c r="D4644" s="9">
        <v>52.16</v>
      </c>
      <c r="E4644" s="8">
        <v>204</v>
      </c>
    </row>
    <row r="4645" s="3" customFormat="1" ht="18.75" spans="1:5">
      <c r="A4645" s="8" t="str">
        <f t="shared" si="82"/>
        <v>250023</v>
      </c>
      <c r="B4645" s="8" t="str">
        <f>"2561406010808"</f>
        <v>2561406010808</v>
      </c>
      <c r="C4645" s="8" t="s">
        <v>12</v>
      </c>
      <c r="D4645" s="9">
        <v>52.04</v>
      </c>
      <c r="E4645" s="8">
        <v>205</v>
      </c>
    </row>
    <row r="4646" s="3" customFormat="1" ht="18.75" spans="1:5">
      <c r="A4646" s="8" t="str">
        <f t="shared" si="82"/>
        <v>250023</v>
      </c>
      <c r="B4646" s="8" t="str">
        <f>"2561406010624"</f>
        <v>2561406010624</v>
      </c>
      <c r="C4646" s="8" t="s">
        <v>12</v>
      </c>
      <c r="D4646" s="9">
        <v>52.01</v>
      </c>
      <c r="E4646" s="8">
        <v>206</v>
      </c>
    </row>
    <row r="4647" s="3" customFormat="1" ht="18.75" spans="1:5">
      <c r="A4647" s="8" t="str">
        <f t="shared" si="82"/>
        <v>250023</v>
      </c>
      <c r="B4647" s="8" t="str">
        <f>"2561406010528"</f>
        <v>2561406010528</v>
      </c>
      <c r="C4647" s="8" t="s">
        <v>12</v>
      </c>
      <c r="D4647" s="9">
        <v>51.98</v>
      </c>
      <c r="E4647" s="8">
        <v>207</v>
      </c>
    </row>
    <row r="4648" s="3" customFormat="1" ht="18.75" spans="1:5">
      <c r="A4648" s="8" t="str">
        <f t="shared" si="82"/>
        <v>250023</v>
      </c>
      <c r="B4648" s="8" t="str">
        <f>"2561406011125"</f>
        <v>2561406011125</v>
      </c>
      <c r="C4648" s="8" t="s">
        <v>12</v>
      </c>
      <c r="D4648" s="9">
        <v>51.9</v>
      </c>
      <c r="E4648" s="8">
        <v>208</v>
      </c>
    </row>
    <row r="4649" s="3" customFormat="1" ht="18.75" spans="1:5">
      <c r="A4649" s="8" t="str">
        <f t="shared" si="82"/>
        <v>250023</v>
      </c>
      <c r="B4649" s="8" t="str">
        <f>"2561406010711"</f>
        <v>2561406010711</v>
      </c>
      <c r="C4649" s="8" t="s">
        <v>12</v>
      </c>
      <c r="D4649" s="9">
        <v>51.85</v>
      </c>
      <c r="E4649" s="8">
        <v>209</v>
      </c>
    </row>
    <row r="4650" s="3" customFormat="1" ht="18.75" spans="1:5">
      <c r="A4650" s="8" t="str">
        <f t="shared" si="82"/>
        <v>250023</v>
      </c>
      <c r="B4650" s="8" t="str">
        <f>"2561406010610"</f>
        <v>2561406010610</v>
      </c>
      <c r="C4650" s="8" t="s">
        <v>12</v>
      </c>
      <c r="D4650" s="9">
        <v>51.82</v>
      </c>
      <c r="E4650" s="8">
        <v>210</v>
      </c>
    </row>
    <row r="4651" s="3" customFormat="1" ht="18.75" spans="1:5">
      <c r="A4651" s="8" t="str">
        <f t="shared" si="82"/>
        <v>250023</v>
      </c>
      <c r="B4651" s="8" t="str">
        <f>"2561406011410"</f>
        <v>2561406011410</v>
      </c>
      <c r="C4651" s="8" t="s">
        <v>12</v>
      </c>
      <c r="D4651" s="9">
        <v>51.76</v>
      </c>
      <c r="E4651" s="8">
        <v>211</v>
      </c>
    </row>
    <row r="4652" s="3" customFormat="1" ht="18.75" spans="1:5">
      <c r="A4652" s="8" t="str">
        <f t="shared" si="82"/>
        <v>250023</v>
      </c>
      <c r="B4652" s="8" t="str">
        <f>"2561406011024"</f>
        <v>2561406011024</v>
      </c>
      <c r="C4652" s="8" t="s">
        <v>12</v>
      </c>
      <c r="D4652" s="9">
        <v>51.68</v>
      </c>
      <c r="E4652" s="8">
        <v>212</v>
      </c>
    </row>
    <row r="4653" s="3" customFormat="1" ht="18.75" spans="1:5">
      <c r="A4653" s="8" t="str">
        <f t="shared" si="82"/>
        <v>250023</v>
      </c>
      <c r="B4653" s="8" t="str">
        <f>"2561406010817"</f>
        <v>2561406010817</v>
      </c>
      <c r="C4653" s="8" t="s">
        <v>12</v>
      </c>
      <c r="D4653" s="9">
        <v>51.49</v>
      </c>
      <c r="E4653" s="8">
        <v>213</v>
      </c>
    </row>
    <row r="4654" s="3" customFormat="1" ht="18.75" spans="1:5">
      <c r="A4654" s="8" t="str">
        <f t="shared" si="82"/>
        <v>250023</v>
      </c>
      <c r="B4654" s="8" t="str">
        <f>"2561406010125"</f>
        <v>2561406010125</v>
      </c>
      <c r="C4654" s="8" t="s">
        <v>12</v>
      </c>
      <c r="D4654" s="9">
        <v>51.15</v>
      </c>
      <c r="E4654" s="8">
        <v>214</v>
      </c>
    </row>
    <row r="4655" s="3" customFormat="1" ht="18.75" spans="1:5">
      <c r="A4655" s="8" t="str">
        <f t="shared" si="82"/>
        <v>250023</v>
      </c>
      <c r="B4655" s="8" t="str">
        <f>"2561406011123"</f>
        <v>2561406011123</v>
      </c>
      <c r="C4655" s="8" t="s">
        <v>12</v>
      </c>
      <c r="D4655" s="9">
        <v>51.12</v>
      </c>
      <c r="E4655" s="8">
        <v>215</v>
      </c>
    </row>
    <row r="4656" s="3" customFormat="1" ht="18.75" spans="1:5">
      <c r="A4656" s="8" t="str">
        <f t="shared" si="82"/>
        <v>250023</v>
      </c>
      <c r="B4656" s="8" t="str">
        <f>"2561406011304"</f>
        <v>2561406011304</v>
      </c>
      <c r="C4656" s="8" t="s">
        <v>12</v>
      </c>
      <c r="D4656" s="9">
        <v>51.12</v>
      </c>
      <c r="E4656" s="8">
        <v>215</v>
      </c>
    </row>
    <row r="4657" s="3" customFormat="1" ht="18.75" spans="1:5">
      <c r="A4657" s="8" t="str">
        <f t="shared" si="82"/>
        <v>250023</v>
      </c>
      <c r="B4657" s="8" t="str">
        <f>"2561406010122"</f>
        <v>2561406010122</v>
      </c>
      <c r="C4657" s="8" t="s">
        <v>12</v>
      </c>
      <c r="D4657" s="9">
        <v>51.08</v>
      </c>
      <c r="E4657" s="8">
        <v>217</v>
      </c>
    </row>
    <row r="4658" s="3" customFormat="1" ht="18.75" spans="1:5">
      <c r="A4658" s="8" t="str">
        <f t="shared" si="82"/>
        <v>250023</v>
      </c>
      <c r="B4658" s="8" t="str">
        <f>"2561406010319"</f>
        <v>2561406010319</v>
      </c>
      <c r="C4658" s="8" t="s">
        <v>12</v>
      </c>
      <c r="D4658" s="9">
        <v>50.92</v>
      </c>
      <c r="E4658" s="8">
        <v>218</v>
      </c>
    </row>
    <row r="4659" s="3" customFormat="1" ht="18.75" spans="1:5">
      <c r="A4659" s="8" t="str">
        <f t="shared" si="82"/>
        <v>250023</v>
      </c>
      <c r="B4659" s="8" t="str">
        <f>"2561406010224"</f>
        <v>2561406010224</v>
      </c>
      <c r="C4659" s="8" t="s">
        <v>12</v>
      </c>
      <c r="D4659" s="9">
        <v>50.89</v>
      </c>
      <c r="E4659" s="8">
        <v>219</v>
      </c>
    </row>
    <row r="4660" s="3" customFormat="1" ht="18.75" spans="1:5">
      <c r="A4660" s="8" t="str">
        <f t="shared" si="82"/>
        <v>250023</v>
      </c>
      <c r="B4660" s="8" t="str">
        <f>"2561406011124"</f>
        <v>2561406011124</v>
      </c>
      <c r="C4660" s="8" t="s">
        <v>12</v>
      </c>
      <c r="D4660" s="9">
        <v>50.83</v>
      </c>
      <c r="E4660" s="8">
        <v>220</v>
      </c>
    </row>
    <row r="4661" s="3" customFormat="1" ht="18.75" spans="1:5">
      <c r="A4661" s="8" t="str">
        <f t="shared" si="82"/>
        <v>250023</v>
      </c>
      <c r="B4661" s="8" t="str">
        <f>"2561406010924"</f>
        <v>2561406010924</v>
      </c>
      <c r="C4661" s="8" t="s">
        <v>12</v>
      </c>
      <c r="D4661" s="9">
        <v>50.75</v>
      </c>
      <c r="E4661" s="8">
        <v>221</v>
      </c>
    </row>
    <row r="4662" s="3" customFormat="1" ht="18.75" spans="1:5">
      <c r="A4662" s="8" t="str">
        <f t="shared" si="82"/>
        <v>250023</v>
      </c>
      <c r="B4662" s="8" t="str">
        <f>"2561406010324"</f>
        <v>2561406010324</v>
      </c>
      <c r="C4662" s="8" t="s">
        <v>12</v>
      </c>
      <c r="D4662" s="9">
        <v>50.62</v>
      </c>
      <c r="E4662" s="8">
        <v>222</v>
      </c>
    </row>
    <row r="4663" s="3" customFormat="1" ht="18.75" spans="1:5">
      <c r="A4663" s="8" t="str">
        <f t="shared" si="82"/>
        <v>250023</v>
      </c>
      <c r="B4663" s="8" t="str">
        <f>"2561406011112"</f>
        <v>2561406011112</v>
      </c>
      <c r="C4663" s="8" t="s">
        <v>12</v>
      </c>
      <c r="D4663" s="9">
        <v>50.57</v>
      </c>
      <c r="E4663" s="8">
        <v>223</v>
      </c>
    </row>
    <row r="4664" s="3" customFormat="1" ht="18.75" spans="1:5">
      <c r="A4664" s="8" t="str">
        <f t="shared" si="82"/>
        <v>250023</v>
      </c>
      <c r="B4664" s="8" t="str">
        <f>"2561406010815"</f>
        <v>2561406010815</v>
      </c>
      <c r="C4664" s="8" t="s">
        <v>12</v>
      </c>
      <c r="D4664" s="9">
        <v>50.45</v>
      </c>
      <c r="E4664" s="8">
        <v>224</v>
      </c>
    </row>
    <row r="4665" s="3" customFormat="1" ht="18.75" spans="1:5">
      <c r="A4665" s="8" t="str">
        <f t="shared" si="82"/>
        <v>250023</v>
      </c>
      <c r="B4665" s="8" t="str">
        <f>"2561406011316"</f>
        <v>2561406011316</v>
      </c>
      <c r="C4665" s="8" t="s">
        <v>12</v>
      </c>
      <c r="D4665" s="9">
        <v>50.39</v>
      </c>
      <c r="E4665" s="8">
        <v>225</v>
      </c>
    </row>
    <row r="4666" s="3" customFormat="1" ht="18.75" spans="1:5">
      <c r="A4666" s="8" t="str">
        <f t="shared" si="82"/>
        <v>250023</v>
      </c>
      <c r="B4666" s="8" t="str">
        <f>"2561406010227"</f>
        <v>2561406010227</v>
      </c>
      <c r="C4666" s="8" t="s">
        <v>12</v>
      </c>
      <c r="D4666" s="9">
        <v>50.33</v>
      </c>
      <c r="E4666" s="8">
        <v>226</v>
      </c>
    </row>
    <row r="4667" s="3" customFormat="1" ht="18.75" spans="1:5">
      <c r="A4667" s="8" t="str">
        <f t="shared" si="82"/>
        <v>250023</v>
      </c>
      <c r="B4667" s="8" t="str">
        <f>"2561406011523"</f>
        <v>2561406011523</v>
      </c>
      <c r="C4667" s="8" t="s">
        <v>12</v>
      </c>
      <c r="D4667" s="9">
        <v>50.2</v>
      </c>
      <c r="E4667" s="8">
        <v>227</v>
      </c>
    </row>
    <row r="4668" s="3" customFormat="1" ht="18.75" spans="1:5">
      <c r="A4668" s="8" t="str">
        <f t="shared" si="82"/>
        <v>250023</v>
      </c>
      <c r="B4668" s="8" t="str">
        <f>"2561406010420"</f>
        <v>2561406010420</v>
      </c>
      <c r="C4668" s="8" t="s">
        <v>12</v>
      </c>
      <c r="D4668" s="9">
        <v>50.08</v>
      </c>
      <c r="E4668" s="8">
        <v>228</v>
      </c>
    </row>
    <row r="4669" s="3" customFormat="1" ht="18.75" spans="1:5">
      <c r="A4669" s="8" t="str">
        <f t="shared" si="82"/>
        <v>250023</v>
      </c>
      <c r="B4669" s="8" t="str">
        <f>"2561406011416"</f>
        <v>2561406011416</v>
      </c>
      <c r="C4669" s="8" t="s">
        <v>12</v>
      </c>
      <c r="D4669" s="9">
        <v>49.94</v>
      </c>
      <c r="E4669" s="8">
        <v>229</v>
      </c>
    </row>
    <row r="4670" s="3" customFormat="1" ht="18.75" spans="1:5">
      <c r="A4670" s="8" t="str">
        <f t="shared" si="82"/>
        <v>250023</v>
      </c>
      <c r="B4670" s="8" t="str">
        <f>"2561406011008"</f>
        <v>2561406011008</v>
      </c>
      <c r="C4670" s="8" t="s">
        <v>12</v>
      </c>
      <c r="D4670" s="9">
        <v>49.89</v>
      </c>
      <c r="E4670" s="8">
        <v>230</v>
      </c>
    </row>
    <row r="4671" s="3" customFormat="1" ht="18.75" spans="1:5">
      <c r="A4671" s="8" t="str">
        <f t="shared" si="82"/>
        <v>250023</v>
      </c>
      <c r="B4671" s="8" t="str">
        <f>"2561406010809"</f>
        <v>2561406010809</v>
      </c>
      <c r="C4671" s="8" t="s">
        <v>12</v>
      </c>
      <c r="D4671" s="9">
        <v>49.88</v>
      </c>
      <c r="E4671" s="8">
        <v>231</v>
      </c>
    </row>
    <row r="4672" s="3" customFormat="1" ht="18.75" spans="1:5">
      <c r="A4672" s="8" t="str">
        <f t="shared" si="82"/>
        <v>250023</v>
      </c>
      <c r="B4672" s="8" t="str">
        <f>"2561406010429"</f>
        <v>2561406010429</v>
      </c>
      <c r="C4672" s="8" t="s">
        <v>12</v>
      </c>
      <c r="D4672" s="9">
        <v>49.75</v>
      </c>
      <c r="E4672" s="8">
        <v>232</v>
      </c>
    </row>
    <row r="4673" s="3" customFormat="1" ht="18.75" spans="1:5">
      <c r="A4673" s="8" t="str">
        <f t="shared" si="82"/>
        <v>250023</v>
      </c>
      <c r="B4673" s="8" t="str">
        <f>"2561406010712"</f>
        <v>2561406010712</v>
      </c>
      <c r="C4673" s="8" t="s">
        <v>12</v>
      </c>
      <c r="D4673" s="9">
        <v>49.74</v>
      </c>
      <c r="E4673" s="8">
        <v>233</v>
      </c>
    </row>
    <row r="4674" s="3" customFormat="1" ht="18.75" spans="1:5">
      <c r="A4674" s="8" t="str">
        <f t="shared" si="82"/>
        <v>250023</v>
      </c>
      <c r="B4674" s="8" t="str">
        <f>"2561406010908"</f>
        <v>2561406010908</v>
      </c>
      <c r="C4674" s="8" t="s">
        <v>12</v>
      </c>
      <c r="D4674" s="9">
        <v>49.61</v>
      </c>
      <c r="E4674" s="8">
        <v>234</v>
      </c>
    </row>
    <row r="4675" s="3" customFormat="1" ht="18.75" spans="1:5">
      <c r="A4675" s="8" t="str">
        <f t="shared" si="82"/>
        <v>250023</v>
      </c>
      <c r="B4675" s="8" t="str">
        <f>"2561406010126"</f>
        <v>2561406010126</v>
      </c>
      <c r="C4675" s="8" t="s">
        <v>12</v>
      </c>
      <c r="D4675" s="9">
        <v>49.54</v>
      </c>
      <c r="E4675" s="8">
        <v>235</v>
      </c>
    </row>
    <row r="4676" s="3" customFormat="1" ht="18.75" spans="1:5">
      <c r="A4676" s="8" t="str">
        <f t="shared" si="82"/>
        <v>250023</v>
      </c>
      <c r="B4676" s="8" t="str">
        <f>"2561406011209"</f>
        <v>2561406011209</v>
      </c>
      <c r="C4676" s="8" t="s">
        <v>12</v>
      </c>
      <c r="D4676" s="9">
        <v>49.41</v>
      </c>
      <c r="E4676" s="8">
        <v>236</v>
      </c>
    </row>
    <row r="4677" s="3" customFormat="1" ht="18.75" spans="1:5">
      <c r="A4677" s="8" t="str">
        <f t="shared" si="82"/>
        <v>250023</v>
      </c>
      <c r="B4677" s="8" t="str">
        <f>"2561406010121"</f>
        <v>2561406010121</v>
      </c>
      <c r="C4677" s="8" t="s">
        <v>12</v>
      </c>
      <c r="D4677" s="9">
        <v>49.32</v>
      </c>
      <c r="E4677" s="8">
        <v>237</v>
      </c>
    </row>
    <row r="4678" s="3" customFormat="1" ht="18.75" spans="1:5">
      <c r="A4678" s="8" t="str">
        <f t="shared" si="82"/>
        <v>250023</v>
      </c>
      <c r="B4678" s="8" t="str">
        <f>"2561406010206"</f>
        <v>2561406010206</v>
      </c>
      <c r="C4678" s="8" t="s">
        <v>12</v>
      </c>
      <c r="D4678" s="9">
        <v>49.13</v>
      </c>
      <c r="E4678" s="8">
        <v>238</v>
      </c>
    </row>
    <row r="4679" s="3" customFormat="1" ht="18.75" spans="1:5">
      <c r="A4679" s="8" t="str">
        <f t="shared" si="82"/>
        <v>250023</v>
      </c>
      <c r="B4679" s="8" t="str">
        <f>"2561406011520"</f>
        <v>2561406011520</v>
      </c>
      <c r="C4679" s="8" t="s">
        <v>12</v>
      </c>
      <c r="D4679" s="9">
        <v>49.08</v>
      </c>
      <c r="E4679" s="8">
        <v>239</v>
      </c>
    </row>
    <row r="4680" s="3" customFormat="1" ht="18.75" spans="1:5">
      <c r="A4680" s="8" t="str">
        <f t="shared" si="82"/>
        <v>250023</v>
      </c>
      <c r="B4680" s="8" t="str">
        <f>"2561406011027"</f>
        <v>2561406011027</v>
      </c>
      <c r="C4680" s="8" t="s">
        <v>12</v>
      </c>
      <c r="D4680" s="9">
        <v>48.99</v>
      </c>
      <c r="E4680" s="8">
        <v>240</v>
      </c>
    </row>
    <row r="4681" s="3" customFormat="1" ht="18.75" spans="1:5">
      <c r="A4681" s="8" t="str">
        <f t="shared" si="82"/>
        <v>250023</v>
      </c>
      <c r="B4681" s="8" t="str">
        <f>"2561406011015"</f>
        <v>2561406011015</v>
      </c>
      <c r="C4681" s="8" t="s">
        <v>12</v>
      </c>
      <c r="D4681" s="9">
        <v>48.89</v>
      </c>
      <c r="E4681" s="8">
        <v>241</v>
      </c>
    </row>
    <row r="4682" s="3" customFormat="1" ht="18.75" spans="1:5">
      <c r="A4682" s="8" t="str">
        <f t="shared" si="82"/>
        <v>250023</v>
      </c>
      <c r="B4682" s="8" t="str">
        <f>"2561406011421"</f>
        <v>2561406011421</v>
      </c>
      <c r="C4682" s="8" t="s">
        <v>12</v>
      </c>
      <c r="D4682" s="9">
        <v>48.74</v>
      </c>
      <c r="E4682" s="8">
        <v>242</v>
      </c>
    </row>
    <row r="4683" s="3" customFormat="1" ht="18.75" spans="1:5">
      <c r="A4683" s="8" t="str">
        <f t="shared" si="82"/>
        <v>250023</v>
      </c>
      <c r="B4683" s="8" t="str">
        <f>"2561406010607"</f>
        <v>2561406010607</v>
      </c>
      <c r="C4683" s="8" t="s">
        <v>12</v>
      </c>
      <c r="D4683" s="9">
        <v>48.67</v>
      </c>
      <c r="E4683" s="8">
        <v>243</v>
      </c>
    </row>
    <row r="4684" s="3" customFormat="1" ht="18.75" spans="1:5">
      <c r="A4684" s="8" t="str">
        <f t="shared" si="82"/>
        <v>250023</v>
      </c>
      <c r="B4684" s="8" t="str">
        <f>"2561406011208"</f>
        <v>2561406011208</v>
      </c>
      <c r="C4684" s="8" t="s">
        <v>12</v>
      </c>
      <c r="D4684" s="9">
        <v>48.65</v>
      </c>
      <c r="E4684" s="8">
        <v>244</v>
      </c>
    </row>
    <row r="4685" s="3" customFormat="1" ht="18.75" spans="1:5">
      <c r="A4685" s="8" t="str">
        <f t="shared" si="82"/>
        <v>250023</v>
      </c>
      <c r="B4685" s="8" t="str">
        <f>"2561406010810"</f>
        <v>2561406010810</v>
      </c>
      <c r="C4685" s="8" t="s">
        <v>12</v>
      </c>
      <c r="D4685" s="9">
        <v>48.33</v>
      </c>
      <c r="E4685" s="8">
        <v>245</v>
      </c>
    </row>
    <row r="4686" s="3" customFormat="1" ht="18.75" spans="1:5">
      <c r="A4686" s="8" t="str">
        <f t="shared" si="82"/>
        <v>250023</v>
      </c>
      <c r="B4686" s="8" t="str">
        <f>"2561406010118"</f>
        <v>2561406010118</v>
      </c>
      <c r="C4686" s="8" t="s">
        <v>12</v>
      </c>
      <c r="D4686" s="9">
        <v>48.31</v>
      </c>
      <c r="E4686" s="8">
        <v>246</v>
      </c>
    </row>
    <row r="4687" s="3" customFormat="1" ht="18.75" spans="1:5">
      <c r="A4687" s="8" t="str">
        <f t="shared" si="82"/>
        <v>250023</v>
      </c>
      <c r="B4687" s="8" t="str">
        <f>"2561406010822"</f>
        <v>2561406010822</v>
      </c>
      <c r="C4687" s="8" t="s">
        <v>12</v>
      </c>
      <c r="D4687" s="9">
        <v>48.16</v>
      </c>
      <c r="E4687" s="8">
        <v>247</v>
      </c>
    </row>
    <row r="4688" s="3" customFormat="1" ht="18.75" spans="1:5">
      <c r="A4688" s="8" t="str">
        <f t="shared" si="82"/>
        <v>250023</v>
      </c>
      <c r="B4688" s="8" t="str">
        <f>"2561406011204"</f>
        <v>2561406011204</v>
      </c>
      <c r="C4688" s="8" t="s">
        <v>12</v>
      </c>
      <c r="D4688" s="9">
        <v>48.13</v>
      </c>
      <c r="E4688" s="8">
        <v>248</v>
      </c>
    </row>
    <row r="4689" s="3" customFormat="1" ht="18.75" spans="1:5">
      <c r="A4689" s="8" t="str">
        <f t="shared" si="82"/>
        <v>250023</v>
      </c>
      <c r="B4689" s="8" t="str">
        <f>"2561406011329"</f>
        <v>2561406011329</v>
      </c>
      <c r="C4689" s="8" t="s">
        <v>12</v>
      </c>
      <c r="D4689" s="9">
        <v>47.99</v>
      </c>
      <c r="E4689" s="8">
        <v>249</v>
      </c>
    </row>
    <row r="4690" s="3" customFormat="1" ht="18.75" spans="1:5">
      <c r="A4690" s="8" t="str">
        <f t="shared" si="82"/>
        <v>250023</v>
      </c>
      <c r="B4690" s="8" t="str">
        <f>"2561406010117"</f>
        <v>2561406010117</v>
      </c>
      <c r="C4690" s="8" t="s">
        <v>12</v>
      </c>
      <c r="D4690" s="9">
        <v>47.97</v>
      </c>
      <c r="E4690" s="8">
        <v>250</v>
      </c>
    </row>
    <row r="4691" s="3" customFormat="1" ht="18.75" spans="1:5">
      <c r="A4691" s="8" t="str">
        <f t="shared" si="82"/>
        <v>250023</v>
      </c>
      <c r="B4691" s="8" t="str">
        <f>"2561406010123"</f>
        <v>2561406010123</v>
      </c>
      <c r="C4691" s="8" t="s">
        <v>12</v>
      </c>
      <c r="D4691" s="9">
        <v>47.85</v>
      </c>
      <c r="E4691" s="8">
        <v>251</v>
      </c>
    </row>
    <row r="4692" s="3" customFormat="1" ht="18.75" spans="1:5">
      <c r="A4692" s="8" t="str">
        <f t="shared" si="82"/>
        <v>250023</v>
      </c>
      <c r="B4692" s="8" t="str">
        <f>"2561406011221"</f>
        <v>2561406011221</v>
      </c>
      <c r="C4692" s="8" t="s">
        <v>12</v>
      </c>
      <c r="D4692" s="9">
        <v>46.92</v>
      </c>
      <c r="E4692" s="8">
        <v>252</v>
      </c>
    </row>
    <row r="4693" s="3" customFormat="1" ht="18.75" spans="1:5">
      <c r="A4693" s="8" t="str">
        <f t="shared" si="82"/>
        <v>250023</v>
      </c>
      <c r="B4693" s="8" t="str">
        <f>"2561406010405"</f>
        <v>2561406010405</v>
      </c>
      <c r="C4693" s="8" t="s">
        <v>12</v>
      </c>
      <c r="D4693" s="9">
        <v>46.88</v>
      </c>
      <c r="E4693" s="8">
        <v>253</v>
      </c>
    </row>
    <row r="4694" s="3" customFormat="1" ht="18.75" spans="1:5">
      <c r="A4694" s="8" t="str">
        <f t="shared" si="82"/>
        <v>250023</v>
      </c>
      <c r="B4694" s="8" t="str">
        <f>"2561406010311"</f>
        <v>2561406010311</v>
      </c>
      <c r="C4694" s="8" t="s">
        <v>12</v>
      </c>
      <c r="D4694" s="9">
        <v>46.87</v>
      </c>
      <c r="E4694" s="8">
        <v>254</v>
      </c>
    </row>
    <row r="4695" s="3" customFormat="1" ht="18.75" spans="1:5">
      <c r="A4695" s="8" t="str">
        <f t="shared" si="82"/>
        <v>250023</v>
      </c>
      <c r="B4695" s="8" t="str">
        <f>"2561406010830"</f>
        <v>2561406010830</v>
      </c>
      <c r="C4695" s="8" t="s">
        <v>12</v>
      </c>
      <c r="D4695" s="9">
        <v>46.87</v>
      </c>
      <c r="E4695" s="8">
        <v>254</v>
      </c>
    </row>
    <row r="4696" s="3" customFormat="1" ht="18.75" spans="1:5">
      <c r="A4696" s="8" t="str">
        <f t="shared" si="82"/>
        <v>250023</v>
      </c>
      <c r="B4696" s="8" t="str">
        <f>"2561406010327"</f>
        <v>2561406010327</v>
      </c>
      <c r="C4696" s="8" t="s">
        <v>12</v>
      </c>
      <c r="D4696" s="9">
        <v>46.71</v>
      </c>
      <c r="E4696" s="8">
        <v>256</v>
      </c>
    </row>
    <row r="4697" s="3" customFormat="1" ht="18.75" spans="1:5">
      <c r="A4697" s="8" t="str">
        <f t="shared" ref="A4697:A4760" si="83">"250023"</f>
        <v>250023</v>
      </c>
      <c r="B4697" s="8" t="str">
        <f>"2561406010824"</f>
        <v>2561406010824</v>
      </c>
      <c r="C4697" s="8" t="s">
        <v>12</v>
      </c>
      <c r="D4697" s="9">
        <v>46.63</v>
      </c>
      <c r="E4697" s="8">
        <v>257</v>
      </c>
    </row>
    <row r="4698" s="3" customFormat="1" ht="18.75" spans="1:5">
      <c r="A4698" s="8" t="str">
        <f t="shared" si="83"/>
        <v>250023</v>
      </c>
      <c r="B4698" s="8" t="str">
        <f>"2561406010328"</f>
        <v>2561406010328</v>
      </c>
      <c r="C4698" s="8" t="s">
        <v>12</v>
      </c>
      <c r="D4698" s="9">
        <v>46.48</v>
      </c>
      <c r="E4698" s="8">
        <v>258</v>
      </c>
    </row>
    <row r="4699" s="3" customFormat="1" ht="18.75" spans="1:5">
      <c r="A4699" s="8" t="str">
        <f t="shared" si="83"/>
        <v>250023</v>
      </c>
      <c r="B4699" s="8" t="str">
        <f>"2561406010220"</f>
        <v>2561406010220</v>
      </c>
      <c r="C4699" s="8" t="s">
        <v>12</v>
      </c>
      <c r="D4699" s="9">
        <v>46.43</v>
      </c>
      <c r="E4699" s="8">
        <v>259</v>
      </c>
    </row>
    <row r="4700" s="3" customFormat="1" ht="18.75" spans="1:5">
      <c r="A4700" s="8" t="str">
        <f t="shared" si="83"/>
        <v>250023</v>
      </c>
      <c r="B4700" s="8" t="str">
        <f>"2561406010310"</f>
        <v>2561406010310</v>
      </c>
      <c r="C4700" s="8" t="s">
        <v>12</v>
      </c>
      <c r="D4700" s="9">
        <v>45.95</v>
      </c>
      <c r="E4700" s="8">
        <v>260</v>
      </c>
    </row>
    <row r="4701" s="3" customFormat="1" ht="18.75" spans="1:5">
      <c r="A4701" s="8" t="str">
        <f t="shared" si="83"/>
        <v>250023</v>
      </c>
      <c r="B4701" s="8" t="str">
        <f>"2561406010702"</f>
        <v>2561406010702</v>
      </c>
      <c r="C4701" s="8" t="s">
        <v>12</v>
      </c>
      <c r="D4701" s="9">
        <v>45.79</v>
      </c>
      <c r="E4701" s="8">
        <v>261</v>
      </c>
    </row>
    <row r="4702" s="3" customFormat="1" ht="18.75" spans="1:5">
      <c r="A4702" s="8" t="str">
        <f t="shared" si="83"/>
        <v>250023</v>
      </c>
      <c r="B4702" s="8" t="str">
        <f>"2561406010107"</f>
        <v>2561406010107</v>
      </c>
      <c r="C4702" s="8" t="s">
        <v>12</v>
      </c>
      <c r="D4702" s="9">
        <v>45.76</v>
      </c>
      <c r="E4702" s="8">
        <v>262</v>
      </c>
    </row>
    <row r="4703" s="3" customFormat="1" ht="18.75" spans="1:5">
      <c r="A4703" s="8" t="str">
        <f t="shared" si="83"/>
        <v>250023</v>
      </c>
      <c r="B4703" s="8" t="str">
        <f>"2561406011418"</f>
        <v>2561406011418</v>
      </c>
      <c r="C4703" s="8" t="s">
        <v>12</v>
      </c>
      <c r="D4703" s="9">
        <v>45.65</v>
      </c>
      <c r="E4703" s="8">
        <v>263</v>
      </c>
    </row>
    <row r="4704" s="3" customFormat="1" ht="18.75" spans="1:5">
      <c r="A4704" s="8" t="str">
        <f t="shared" si="83"/>
        <v>250023</v>
      </c>
      <c r="B4704" s="8" t="str">
        <f>"2561406010503"</f>
        <v>2561406010503</v>
      </c>
      <c r="C4704" s="8" t="s">
        <v>12</v>
      </c>
      <c r="D4704" s="9">
        <v>44.86</v>
      </c>
      <c r="E4704" s="8">
        <v>264</v>
      </c>
    </row>
    <row r="4705" s="3" customFormat="1" ht="18.75" spans="1:5">
      <c r="A4705" s="8" t="str">
        <f t="shared" si="83"/>
        <v>250023</v>
      </c>
      <c r="B4705" s="8" t="str">
        <f>"2561406010603"</f>
        <v>2561406010603</v>
      </c>
      <c r="C4705" s="8" t="s">
        <v>12</v>
      </c>
      <c r="D4705" s="9">
        <v>44.82</v>
      </c>
      <c r="E4705" s="8">
        <v>265</v>
      </c>
    </row>
    <row r="4706" s="3" customFormat="1" ht="18.75" spans="1:5">
      <c r="A4706" s="8" t="str">
        <f t="shared" si="83"/>
        <v>250023</v>
      </c>
      <c r="B4706" s="8" t="str">
        <f>"2561406011005"</f>
        <v>2561406011005</v>
      </c>
      <c r="C4706" s="8" t="s">
        <v>12</v>
      </c>
      <c r="D4706" s="9">
        <v>44.65</v>
      </c>
      <c r="E4706" s="8">
        <v>266</v>
      </c>
    </row>
    <row r="4707" s="3" customFormat="1" ht="18.75" spans="1:5">
      <c r="A4707" s="8" t="str">
        <f t="shared" si="83"/>
        <v>250023</v>
      </c>
      <c r="B4707" s="8" t="str">
        <f>"2561406010726"</f>
        <v>2561406010726</v>
      </c>
      <c r="C4707" s="8" t="s">
        <v>12</v>
      </c>
      <c r="D4707" s="9">
        <v>43.91</v>
      </c>
      <c r="E4707" s="8">
        <v>267</v>
      </c>
    </row>
    <row r="4708" s="3" customFormat="1" ht="18.75" spans="1:5">
      <c r="A4708" s="8" t="str">
        <f t="shared" si="83"/>
        <v>250023</v>
      </c>
      <c r="B4708" s="8" t="str">
        <f>"2561406011111"</f>
        <v>2561406011111</v>
      </c>
      <c r="C4708" s="8" t="s">
        <v>12</v>
      </c>
      <c r="D4708" s="9">
        <v>43.68</v>
      </c>
      <c r="E4708" s="8">
        <v>268</v>
      </c>
    </row>
    <row r="4709" s="3" customFormat="1" ht="18.75" spans="1:5">
      <c r="A4709" s="8" t="str">
        <f t="shared" si="83"/>
        <v>250023</v>
      </c>
      <c r="B4709" s="8" t="str">
        <f>"2561406010521"</f>
        <v>2561406010521</v>
      </c>
      <c r="C4709" s="8" t="s">
        <v>12</v>
      </c>
      <c r="D4709" s="9">
        <v>43.42</v>
      </c>
      <c r="E4709" s="8">
        <v>269</v>
      </c>
    </row>
    <row r="4710" s="3" customFormat="1" ht="18.75" spans="1:5">
      <c r="A4710" s="8" t="str">
        <f t="shared" si="83"/>
        <v>250023</v>
      </c>
      <c r="B4710" s="8" t="str">
        <f>"2561406010716"</f>
        <v>2561406010716</v>
      </c>
      <c r="C4710" s="8" t="s">
        <v>12</v>
      </c>
      <c r="D4710" s="9">
        <v>42.11</v>
      </c>
      <c r="E4710" s="8">
        <v>270</v>
      </c>
    </row>
    <row r="4711" s="3" customFormat="1" ht="18.75" spans="1:5">
      <c r="A4711" s="8" t="str">
        <f t="shared" si="83"/>
        <v>250023</v>
      </c>
      <c r="B4711" s="8" t="str">
        <f>"2561406010819"</f>
        <v>2561406010819</v>
      </c>
      <c r="C4711" s="8" t="s">
        <v>12</v>
      </c>
      <c r="D4711" s="9">
        <v>41.31</v>
      </c>
      <c r="E4711" s="8">
        <v>271</v>
      </c>
    </row>
    <row r="4712" s="3" customFormat="1" ht="18.75" spans="1:5">
      <c r="A4712" s="8" t="str">
        <f t="shared" si="83"/>
        <v>250023</v>
      </c>
      <c r="B4712" s="8" t="str">
        <f>"2561406010207"</f>
        <v>2561406010207</v>
      </c>
      <c r="C4712" s="8" t="s">
        <v>12</v>
      </c>
      <c r="D4712" s="9">
        <v>40.69</v>
      </c>
      <c r="E4712" s="8">
        <v>272</v>
      </c>
    </row>
    <row r="4713" s="3" customFormat="1" ht="18.75" spans="1:5">
      <c r="A4713" s="8" t="str">
        <f t="shared" si="83"/>
        <v>250023</v>
      </c>
      <c r="B4713" s="8" t="str">
        <f>"2561406010106"</f>
        <v>2561406010106</v>
      </c>
      <c r="C4713" s="8" t="s">
        <v>12</v>
      </c>
      <c r="D4713" s="9">
        <v>40.22</v>
      </c>
      <c r="E4713" s="8">
        <v>273</v>
      </c>
    </row>
    <row r="4714" s="3" customFormat="1" ht="18.75" spans="1:5">
      <c r="A4714" s="8" t="str">
        <f t="shared" si="83"/>
        <v>250023</v>
      </c>
      <c r="B4714" s="8" t="str">
        <f>"2561406010526"</f>
        <v>2561406010526</v>
      </c>
      <c r="C4714" s="8" t="s">
        <v>12</v>
      </c>
      <c r="D4714" s="9">
        <v>39.46</v>
      </c>
      <c r="E4714" s="8">
        <v>274</v>
      </c>
    </row>
    <row r="4715" s="3" customFormat="1" ht="18.75" spans="1:5">
      <c r="A4715" s="8" t="str">
        <f t="shared" si="83"/>
        <v>250023</v>
      </c>
      <c r="B4715" s="8" t="str">
        <f>"2561406011603"</f>
        <v>2561406011603</v>
      </c>
      <c r="C4715" s="8" t="s">
        <v>12</v>
      </c>
      <c r="D4715" s="9">
        <v>38.24</v>
      </c>
      <c r="E4715" s="8">
        <v>275</v>
      </c>
    </row>
    <row r="4716" s="3" customFormat="1" ht="18.75" spans="1:5">
      <c r="A4716" s="8" t="str">
        <f t="shared" si="83"/>
        <v>250023</v>
      </c>
      <c r="B4716" s="8" t="str">
        <f>"2561406010404"</f>
        <v>2561406010404</v>
      </c>
      <c r="C4716" s="8" t="s">
        <v>12</v>
      </c>
      <c r="D4716" s="9">
        <v>31.04</v>
      </c>
      <c r="E4716" s="8">
        <v>276</v>
      </c>
    </row>
    <row r="4717" s="3" customFormat="1" ht="18.75" spans="1:5">
      <c r="A4717" s="8" t="str">
        <f t="shared" si="83"/>
        <v>250023</v>
      </c>
      <c r="B4717" s="8" t="str">
        <f>"2561406010101"</f>
        <v>2561406010101</v>
      </c>
      <c r="C4717" s="8" t="s">
        <v>12</v>
      </c>
      <c r="D4717" s="9">
        <v>0</v>
      </c>
      <c r="E4717" s="8">
        <v>277</v>
      </c>
    </row>
    <row r="4718" s="3" customFormat="1" ht="18.75" spans="1:5">
      <c r="A4718" s="8" t="str">
        <f t="shared" si="83"/>
        <v>250023</v>
      </c>
      <c r="B4718" s="8" t="str">
        <f>"2561406010103"</f>
        <v>2561406010103</v>
      </c>
      <c r="C4718" s="8" t="s">
        <v>12</v>
      </c>
      <c r="D4718" s="9">
        <v>0</v>
      </c>
      <c r="E4718" s="8">
        <v>277</v>
      </c>
    </row>
    <row r="4719" s="3" customFormat="1" ht="18.75" spans="1:5">
      <c r="A4719" s="8" t="str">
        <f t="shared" si="83"/>
        <v>250023</v>
      </c>
      <c r="B4719" s="8" t="str">
        <f>"2561406010108"</f>
        <v>2561406010108</v>
      </c>
      <c r="C4719" s="8" t="s">
        <v>12</v>
      </c>
      <c r="D4719" s="9">
        <v>0</v>
      </c>
      <c r="E4719" s="8">
        <v>277</v>
      </c>
    </row>
    <row r="4720" s="3" customFormat="1" ht="18.75" spans="1:5">
      <c r="A4720" s="8" t="str">
        <f t="shared" si="83"/>
        <v>250023</v>
      </c>
      <c r="B4720" s="8" t="str">
        <f>"2561406010111"</f>
        <v>2561406010111</v>
      </c>
      <c r="C4720" s="8" t="s">
        <v>12</v>
      </c>
      <c r="D4720" s="9">
        <v>0</v>
      </c>
      <c r="E4720" s="8">
        <v>277</v>
      </c>
    </row>
    <row r="4721" s="3" customFormat="1" ht="18.75" spans="1:5">
      <c r="A4721" s="8" t="str">
        <f t="shared" si="83"/>
        <v>250023</v>
      </c>
      <c r="B4721" s="8" t="str">
        <f>"2561406010115"</f>
        <v>2561406010115</v>
      </c>
      <c r="C4721" s="8" t="s">
        <v>12</v>
      </c>
      <c r="D4721" s="9">
        <v>0</v>
      </c>
      <c r="E4721" s="8">
        <v>277</v>
      </c>
    </row>
    <row r="4722" s="3" customFormat="1" ht="18.75" spans="1:5">
      <c r="A4722" s="8" t="str">
        <f t="shared" si="83"/>
        <v>250023</v>
      </c>
      <c r="B4722" s="8" t="str">
        <f>"2561406010119"</f>
        <v>2561406010119</v>
      </c>
      <c r="C4722" s="8" t="s">
        <v>12</v>
      </c>
      <c r="D4722" s="9">
        <v>0</v>
      </c>
      <c r="E4722" s="8">
        <v>277</v>
      </c>
    </row>
    <row r="4723" s="3" customFormat="1" ht="18.75" spans="1:5">
      <c r="A4723" s="8" t="str">
        <f t="shared" si="83"/>
        <v>250023</v>
      </c>
      <c r="B4723" s="8" t="str">
        <f>"2561406010120"</f>
        <v>2561406010120</v>
      </c>
      <c r="C4723" s="8" t="s">
        <v>12</v>
      </c>
      <c r="D4723" s="9">
        <v>0</v>
      </c>
      <c r="E4723" s="8">
        <v>277</v>
      </c>
    </row>
    <row r="4724" s="3" customFormat="1" ht="18.75" spans="1:5">
      <c r="A4724" s="8" t="str">
        <f t="shared" si="83"/>
        <v>250023</v>
      </c>
      <c r="B4724" s="8" t="str">
        <f>"2561406010124"</f>
        <v>2561406010124</v>
      </c>
      <c r="C4724" s="8" t="s">
        <v>12</v>
      </c>
      <c r="D4724" s="9">
        <v>0</v>
      </c>
      <c r="E4724" s="8">
        <v>277</v>
      </c>
    </row>
    <row r="4725" s="3" customFormat="1" ht="18.75" spans="1:5">
      <c r="A4725" s="8" t="str">
        <f t="shared" si="83"/>
        <v>250023</v>
      </c>
      <c r="B4725" s="8" t="str">
        <f>"2561406010130"</f>
        <v>2561406010130</v>
      </c>
      <c r="C4725" s="8" t="s">
        <v>12</v>
      </c>
      <c r="D4725" s="9">
        <v>0</v>
      </c>
      <c r="E4725" s="8">
        <v>277</v>
      </c>
    </row>
    <row r="4726" s="3" customFormat="1" ht="18.75" spans="1:5">
      <c r="A4726" s="8" t="str">
        <f t="shared" si="83"/>
        <v>250023</v>
      </c>
      <c r="B4726" s="8" t="str">
        <f>"2561406010202"</f>
        <v>2561406010202</v>
      </c>
      <c r="C4726" s="8" t="s">
        <v>12</v>
      </c>
      <c r="D4726" s="9">
        <v>0</v>
      </c>
      <c r="E4726" s="8">
        <v>277</v>
      </c>
    </row>
    <row r="4727" s="3" customFormat="1" ht="18.75" spans="1:5">
      <c r="A4727" s="8" t="str">
        <f t="shared" si="83"/>
        <v>250023</v>
      </c>
      <c r="B4727" s="8" t="str">
        <f>"2561406010208"</f>
        <v>2561406010208</v>
      </c>
      <c r="C4727" s="8" t="s">
        <v>12</v>
      </c>
      <c r="D4727" s="9">
        <v>0</v>
      </c>
      <c r="E4727" s="8">
        <v>277</v>
      </c>
    </row>
    <row r="4728" s="3" customFormat="1" ht="18.75" spans="1:5">
      <c r="A4728" s="8" t="str">
        <f t="shared" si="83"/>
        <v>250023</v>
      </c>
      <c r="B4728" s="8" t="str">
        <f>"2561406010209"</f>
        <v>2561406010209</v>
      </c>
      <c r="C4728" s="8" t="s">
        <v>12</v>
      </c>
      <c r="D4728" s="9">
        <v>0</v>
      </c>
      <c r="E4728" s="8">
        <v>277</v>
      </c>
    </row>
    <row r="4729" s="3" customFormat="1" ht="18.75" spans="1:5">
      <c r="A4729" s="8" t="str">
        <f t="shared" si="83"/>
        <v>250023</v>
      </c>
      <c r="B4729" s="8" t="str">
        <f>"2561406010210"</f>
        <v>2561406010210</v>
      </c>
      <c r="C4729" s="8" t="s">
        <v>12</v>
      </c>
      <c r="D4729" s="9">
        <v>0</v>
      </c>
      <c r="E4729" s="8">
        <v>277</v>
      </c>
    </row>
    <row r="4730" s="3" customFormat="1" ht="18.75" spans="1:5">
      <c r="A4730" s="8" t="str">
        <f t="shared" si="83"/>
        <v>250023</v>
      </c>
      <c r="B4730" s="8" t="str">
        <f>"2561406010211"</f>
        <v>2561406010211</v>
      </c>
      <c r="C4730" s="8" t="s">
        <v>12</v>
      </c>
      <c r="D4730" s="9">
        <v>0</v>
      </c>
      <c r="E4730" s="8">
        <v>277</v>
      </c>
    </row>
    <row r="4731" s="3" customFormat="1" ht="18.75" spans="1:5">
      <c r="A4731" s="8" t="str">
        <f t="shared" si="83"/>
        <v>250023</v>
      </c>
      <c r="B4731" s="8" t="str">
        <f>"2561406010214"</f>
        <v>2561406010214</v>
      </c>
      <c r="C4731" s="8" t="s">
        <v>12</v>
      </c>
      <c r="D4731" s="9">
        <v>0</v>
      </c>
      <c r="E4731" s="8">
        <v>277</v>
      </c>
    </row>
    <row r="4732" s="3" customFormat="1" ht="18.75" spans="1:5">
      <c r="A4732" s="8" t="str">
        <f t="shared" si="83"/>
        <v>250023</v>
      </c>
      <c r="B4732" s="8" t="str">
        <f>"2561406010217"</f>
        <v>2561406010217</v>
      </c>
      <c r="C4732" s="8" t="s">
        <v>12</v>
      </c>
      <c r="D4732" s="9">
        <v>0</v>
      </c>
      <c r="E4732" s="8">
        <v>277</v>
      </c>
    </row>
    <row r="4733" s="3" customFormat="1" ht="18.75" spans="1:5">
      <c r="A4733" s="8" t="str">
        <f t="shared" si="83"/>
        <v>250023</v>
      </c>
      <c r="B4733" s="8" t="str">
        <f>"2561406010219"</f>
        <v>2561406010219</v>
      </c>
      <c r="C4733" s="8" t="s">
        <v>12</v>
      </c>
      <c r="D4733" s="9">
        <v>0</v>
      </c>
      <c r="E4733" s="8">
        <v>277</v>
      </c>
    </row>
    <row r="4734" s="3" customFormat="1" ht="18.75" spans="1:5">
      <c r="A4734" s="8" t="str">
        <f t="shared" si="83"/>
        <v>250023</v>
      </c>
      <c r="B4734" s="8" t="str">
        <f>"2561406010221"</f>
        <v>2561406010221</v>
      </c>
      <c r="C4734" s="8" t="s">
        <v>12</v>
      </c>
      <c r="D4734" s="9">
        <v>0</v>
      </c>
      <c r="E4734" s="8">
        <v>277</v>
      </c>
    </row>
    <row r="4735" s="3" customFormat="1" ht="18.75" spans="1:5">
      <c r="A4735" s="8" t="str">
        <f t="shared" si="83"/>
        <v>250023</v>
      </c>
      <c r="B4735" s="8" t="str">
        <f>"2561406010222"</f>
        <v>2561406010222</v>
      </c>
      <c r="C4735" s="8" t="s">
        <v>12</v>
      </c>
      <c r="D4735" s="9">
        <v>0</v>
      </c>
      <c r="E4735" s="8">
        <v>277</v>
      </c>
    </row>
    <row r="4736" s="3" customFormat="1" ht="18.75" spans="1:5">
      <c r="A4736" s="8" t="str">
        <f t="shared" si="83"/>
        <v>250023</v>
      </c>
      <c r="B4736" s="8" t="str">
        <f>"2561406010223"</f>
        <v>2561406010223</v>
      </c>
      <c r="C4736" s="8" t="s">
        <v>12</v>
      </c>
      <c r="D4736" s="9">
        <v>0</v>
      </c>
      <c r="E4736" s="8">
        <v>277</v>
      </c>
    </row>
    <row r="4737" s="3" customFormat="1" ht="18.75" spans="1:5">
      <c r="A4737" s="8" t="str">
        <f t="shared" si="83"/>
        <v>250023</v>
      </c>
      <c r="B4737" s="8" t="str">
        <f>"2561406010225"</f>
        <v>2561406010225</v>
      </c>
      <c r="C4737" s="8" t="s">
        <v>12</v>
      </c>
      <c r="D4737" s="9">
        <v>0</v>
      </c>
      <c r="E4737" s="8">
        <v>277</v>
      </c>
    </row>
    <row r="4738" s="3" customFormat="1" ht="18.75" spans="1:5">
      <c r="A4738" s="8" t="str">
        <f t="shared" si="83"/>
        <v>250023</v>
      </c>
      <c r="B4738" s="8" t="str">
        <f>"2561406010228"</f>
        <v>2561406010228</v>
      </c>
      <c r="C4738" s="8" t="s">
        <v>12</v>
      </c>
      <c r="D4738" s="9">
        <v>0</v>
      </c>
      <c r="E4738" s="8">
        <v>277</v>
      </c>
    </row>
    <row r="4739" s="3" customFormat="1" ht="18.75" spans="1:5">
      <c r="A4739" s="8" t="str">
        <f t="shared" si="83"/>
        <v>250023</v>
      </c>
      <c r="B4739" s="8" t="str">
        <f>"2561406010229"</f>
        <v>2561406010229</v>
      </c>
      <c r="C4739" s="8" t="s">
        <v>12</v>
      </c>
      <c r="D4739" s="9">
        <v>0</v>
      </c>
      <c r="E4739" s="8">
        <v>277</v>
      </c>
    </row>
    <row r="4740" s="3" customFormat="1" ht="18.75" spans="1:5">
      <c r="A4740" s="8" t="str">
        <f t="shared" si="83"/>
        <v>250023</v>
      </c>
      <c r="B4740" s="8" t="str">
        <f>"2561406010301"</f>
        <v>2561406010301</v>
      </c>
      <c r="C4740" s="8" t="s">
        <v>12</v>
      </c>
      <c r="D4740" s="9">
        <v>0</v>
      </c>
      <c r="E4740" s="8">
        <v>277</v>
      </c>
    </row>
    <row r="4741" s="3" customFormat="1" ht="18.75" spans="1:5">
      <c r="A4741" s="8" t="str">
        <f t="shared" si="83"/>
        <v>250023</v>
      </c>
      <c r="B4741" s="8" t="str">
        <f>"2561406010302"</f>
        <v>2561406010302</v>
      </c>
      <c r="C4741" s="8" t="s">
        <v>12</v>
      </c>
      <c r="D4741" s="9">
        <v>0</v>
      </c>
      <c r="E4741" s="8">
        <v>277</v>
      </c>
    </row>
    <row r="4742" s="3" customFormat="1" ht="18.75" spans="1:5">
      <c r="A4742" s="8" t="str">
        <f t="shared" si="83"/>
        <v>250023</v>
      </c>
      <c r="B4742" s="8" t="str">
        <f>"2561406010303"</f>
        <v>2561406010303</v>
      </c>
      <c r="C4742" s="8" t="s">
        <v>12</v>
      </c>
      <c r="D4742" s="9">
        <v>0</v>
      </c>
      <c r="E4742" s="8">
        <v>277</v>
      </c>
    </row>
    <row r="4743" s="3" customFormat="1" ht="18.75" spans="1:5">
      <c r="A4743" s="8" t="str">
        <f t="shared" si="83"/>
        <v>250023</v>
      </c>
      <c r="B4743" s="8" t="str">
        <f>"2561406010308"</f>
        <v>2561406010308</v>
      </c>
      <c r="C4743" s="8" t="s">
        <v>12</v>
      </c>
      <c r="D4743" s="9">
        <v>0</v>
      </c>
      <c r="E4743" s="8">
        <v>277</v>
      </c>
    </row>
    <row r="4744" s="3" customFormat="1" ht="18.75" spans="1:5">
      <c r="A4744" s="8" t="str">
        <f t="shared" si="83"/>
        <v>250023</v>
      </c>
      <c r="B4744" s="8" t="str">
        <f>"2561406010309"</f>
        <v>2561406010309</v>
      </c>
      <c r="C4744" s="8" t="s">
        <v>12</v>
      </c>
      <c r="D4744" s="9">
        <v>0</v>
      </c>
      <c r="E4744" s="8">
        <v>277</v>
      </c>
    </row>
    <row r="4745" s="3" customFormat="1" ht="18.75" spans="1:5">
      <c r="A4745" s="8" t="str">
        <f t="shared" si="83"/>
        <v>250023</v>
      </c>
      <c r="B4745" s="8" t="str">
        <f>"2561406010313"</f>
        <v>2561406010313</v>
      </c>
      <c r="C4745" s="8" t="s">
        <v>12</v>
      </c>
      <c r="D4745" s="9">
        <v>0</v>
      </c>
      <c r="E4745" s="8">
        <v>277</v>
      </c>
    </row>
    <row r="4746" s="3" customFormat="1" ht="18.75" spans="1:5">
      <c r="A4746" s="8" t="str">
        <f t="shared" si="83"/>
        <v>250023</v>
      </c>
      <c r="B4746" s="8" t="str">
        <f>"2561406010315"</f>
        <v>2561406010315</v>
      </c>
      <c r="C4746" s="8" t="s">
        <v>12</v>
      </c>
      <c r="D4746" s="9">
        <v>0</v>
      </c>
      <c r="E4746" s="8">
        <v>277</v>
      </c>
    </row>
    <row r="4747" s="3" customFormat="1" ht="18.75" spans="1:5">
      <c r="A4747" s="8" t="str">
        <f t="shared" si="83"/>
        <v>250023</v>
      </c>
      <c r="B4747" s="8" t="str">
        <f>"2561406010317"</f>
        <v>2561406010317</v>
      </c>
      <c r="C4747" s="8" t="s">
        <v>12</v>
      </c>
      <c r="D4747" s="9">
        <v>0</v>
      </c>
      <c r="E4747" s="8">
        <v>277</v>
      </c>
    </row>
    <row r="4748" s="3" customFormat="1" ht="18.75" spans="1:5">
      <c r="A4748" s="8" t="str">
        <f t="shared" si="83"/>
        <v>250023</v>
      </c>
      <c r="B4748" s="8" t="str">
        <f>"2561406010318"</f>
        <v>2561406010318</v>
      </c>
      <c r="C4748" s="8" t="s">
        <v>12</v>
      </c>
      <c r="D4748" s="9">
        <v>0</v>
      </c>
      <c r="E4748" s="8">
        <v>277</v>
      </c>
    </row>
    <row r="4749" s="3" customFormat="1" ht="18.75" spans="1:5">
      <c r="A4749" s="8" t="str">
        <f t="shared" si="83"/>
        <v>250023</v>
      </c>
      <c r="B4749" s="8" t="str">
        <f>"2561406010320"</f>
        <v>2561406010320</v>
      </c>
      <c r="C4749" s="8" t="s">
        <v>12</v>
      </c>
      <c r="D4749" s="9">
        <v>0</v>
      </c>
      <c r="E4749" s="8">
        <v>277</v>
      </c>
    </row>
    <row r="4750" s="3" customFormat="1" ht="18.75" spans="1:5">
      <c r="A4750" s="8" t="str">
        <f t="shared" si="83"/>
        <v>250023</v>
      </c>
      <c r="B4750" s="8" t="str">
        <f>"2561406010322"</f>
        <v>2561406010322</v>
      </c>
      <c r="C4750" s="8" t="s">
        <v>12</v>
      </c>
      <c r="D4750" s="9">
        <v>0</v>
      </c>
      <c r="E4750" s="8">
        <v>277</v>
      </c>
    </row>
    <row r="4751" s="3" customFormat="1" ht="18.75" spans="1:5">
      <c r="A4751" s="8" t="str">
        <f t="shared" si="83"/>
        <v>250023</v>
      </c>
      <c r="B4751" s="8" t="str">
        <f>"2561406010326"</f>
        <v>2561406010326</v>
      </c>
      <c r="C4751" s="8" t="s">
        <v>12</v>
      </c>
      <c r="D4751" s="9">
        <v>0</v>
      </c>
      <c r="E4751" s="8">
        <v>277</v>
      </c>
    </row>
    <row r="4752" s="3" customFormat="1" ht="18.75" spans="1:5">
      <c r="A4752" s="8" t="str">
        <f t="shared" si="83"/>
        <v>250023</v>
      </c>
      <c r="B4752" s="8" t="str">
        <f>"2561406010329"</f>
        <v>2561406010329</v>
      </c>
      <c r="C4752" s="8" t="s">
        <v>12</v>
      </c>
      <c r="D4752" s="9">
        <v>0</v>
      </c>
      <c r="E4752" s="8">
        <v>277</v>
      </c>
    </row>
    <row r="4753" s="3" customFormat="1" ht="18.75" spans="1:5">
      <c r="A4753" s="8" t="str">
        <f t="shared" si="83"/>
        <v>250023</v>
      </c>
      <c r="B4753" s="8" t="str">
        <f>"2561406010401"</f>
        <v>2561406010401</v>
      </c>
      <c r="C4753" s="8" t="s">
        <v>12</v>
      </c>
      <c r="D4753" s="9">
        <v>0</v>
      </c>
      <c r="E4753" s="8">
        <v>277</v>
      </c>
    </row>
    <row r="4754" s="3" customFormat="1" ht="18.75" spans="1:5">
      <c r="A4754" s="8" t="str">
        <f t="shared" si="83"/>
        <v>250023</v>
      </c>
      <c r="B4754" s="8" t="str">
        <f>"2561406010409"</f>
        <v>2561406010409</v>
      </c>
      <c r="C4754" s="8" t="s">
        <v>12</v>
      </c>
      <c r="D4754" s="9">
        <v>0</v>
      </c>
      <c r="E4754" s="8">
        <v>277</v>
      </c>
    </row>
    <row r="4755" s="3" customFormat="1" ht="18.75" spans="1:5">
      <c r="A4755" s="8" t="str">
        <f t="shared" si="83"/>
        <v>250023</v>
      </c>
      <c r="B4755" s="8" t="str">
        <f>"2561406010411"</f>
        <v>2561406010411</v>
      </c>
      <c r="C4755" s="8" t="s">
        <v>12</v>
      </c>
      <c r="D4755" s="9">
        <v>0</v>
      </c>
      <c r="E4755" s="8">
        <v>277</v>
      </c>
    </row>
    <row r="4756" s="3" customFormat="1" ht="18.75" spans="1:5">
      <c r="A4756" s="8" t="str">
        <f t="shared" si="83"/>
        <v>250023</v>
      </c>
      <c r="B4756" s="8" t="str">
        <f>"2561406010412"</f>
        <v>2561406010412</v>
      </c>
      <c r="C4756" s="8" t="s">
        <v>12</v>
      </c>
      <c r="D4756" s="9">
        <v>0</v>
      </c>
      <c r="E4756" s="8">
        <v>277</v>
      </c>
    </row>
    <row r="4757" s="3" customFormat="1" ht="18.75" spans="1:5">
      <c r="A4757" s="8" t="str">
        <f t="shared" si="83"/>
        <v>250023</v>
      </c>
      <c r="B4757" s="8" t="str">
        <f>"2561406010413"</f>
        <v>2561406010413</v>
      </c>
      <c r="C4757" s="8" t="s">
        <v>12</v>
      </c>
      <c r="D4757" s="9">
        <v>0</v>
      </c>
      <c r="E4757" s="8">
        <v>277</v>
      </c>
    </row>
    <row r="4758" s="3" customFormat="1" ht="18.75" spans="1:5">
      <c r="A4758" s="8" t="str">
        <f t="shared" si="83"/>
        <v>250023</v>
      </c>
      <c r="B4758" s="8" t="str">
        <f>"2561406010417"</f>
        <v>2561406010417</v>
      </c>
      <c r="C4758" s="8" t="s">
        <v>12</v>
      </c>
      <c r="D4758" s="9">
        <v>0</v>
      </c>
      <c r="E4758" s="8">
        <v>277</v>
      </c>
    </row>
    <row r="4759" s="3" customFormat="1" ht="18.75" spans="1:5">
      <c r="A4759" s="8" t="str">
        <f t="shared" si="83"/>
        <v>250023</v>
      </c>
      <c r="B4759" s="8" t="str">
        <f>"2561406010418"</f>
        <v>2561406010418</v>
      </c>
      <c r="C4759" s="8" t="s">
        <v>12</v>
      </c>
      <c r="D4759" s="9">
        <v>0</v>
      </c>
      <c r="E4759" s="8">
        <v>277</v>
      </c>
    </row>
    <row r="4760" s="3" customFormat="1" ht="18.75" spans="1:5">
      <c r="A4760" s="8" t="str">
        <f t="shared" si="83"/>
        <v>250023</v>
      </c>
      <c r="B4760" s="8" t="str">
        <f>"2561406010419"</f>
        <v>2561406010419</v>
      </c>
      <c r="C4760" s="8" t="s">
        <v>12</v>
      </c>
      <c r="D4760" s="9">
        <v>0</v>
      </c>
      <c r="E4760" s="8">
        <v>277</v>
      </c>
    </row>
    <row r="4761" s="3" customFormat="1" ht="18.75" spans="1:5">
      <c r="A4761" s="8" t="str">
        <f t="shared" ref="A4761:A4824" si="84">"250023"</f>
        <v>250023</v>
      </c>
      <c r="B4761" s="8" t="str">
        <f>"2561406010421"</f>
        <v>2561406010421</v>
      </c>
      <c r="C4761" s="8" t="s">
        <v>12</v>
      </c>
      <c r="D4761" s="9">
        <v>0</v>
      </c>
      <c r="E4761" s="8">
        <v>277</v>
      </c>
    </row>
    <row r="4762" s="3" customFormat="1" ht="18.75" spans="1:5">
      <c r="A4762" s="8" t="str">
        <f t="shared" si="84"/>
        <v>250023</v>
      </c>
      <c r="B4762" s="8" t="str">
        <f>"2561406010423"</f>
        <v>2561406010423</v>
      </c>
      <c r="C4762" s="8" t="s">
        <v>12</v>
      </c>
      <c r="D4762" s="9">
        <v>0</v>
      </c>
      <c r="E4762" s="8">
        <v>277</v>
      </c>
    </row>
    <row r="4763" s="3" customFormat="1" ht="18.75" spans="1:5">
      <c r="A4763" s="8" t="str">
        <f t="shared" si="84"/>
        <v>250023</v>
      </c>
      <c r="B4763" s="8" t="str">
        <f>"2561406010424"</f>
        <v>2561406010424</v>
      </c>
      <c r="C4763" s="8" t="s">
        <v>12</v>
      </c>
      <c r="D4763" s="9">
        <v>0</v>
      </c>
      <c r="E4763" s="8">
        <v>277</v>
      </c>
    </row>
    <row r="4764" s="3" customFormat="1" ht="18.75" spans="1:5">
      <c r="A4764" s="8" t="str">
        <f t="shared" si="84"/>
        <v>250023</v>
      </c>
      <c r="B4764" s="8" t="str">
        <f>"2561406010425"</f>
        <v>2561406010425</v>
      </c>
      <c r="C4764" s="8" t="s">
        <v>12</v>
      </c>
      <c r="D4764" s="9">
        <v>0</v>
      </c>
      <c r="E4764" s="8">
        <v>277</v>
      </c>
    </row>
    <row r="4765" s="3" customFormat="1" ht="18.75" spans="1:5">
      <c r="A4765" s="8" t="str">
        <f t="shared" si="84"/>
        <v>250023</v>
      </c>
      <c r="B4765" s="8" t="str">
        <f>"2561406010430"</f>
        <v>2561406010430</v>
      </c>
      <c r="C4765" s="8" t="s">
        <v>12</v>
      </c>
      <c r="D4765" s="9">
        <v>0</v>
      </c>
      <c r="E4765" s="8">
        <v>277</v>
      </c>
    </row>
    <row r="4766" s="3" customFormat="1" ht="18.75" spans="1:5">
      <c r="A4766" s="8" t="str">
        <f t="shared" si="84"/>
        <v>250023</v>
      </c>
      <c r="B4766" s="8" t="str">
        <f>"2561406010505"</f>
        <v>2561406010505</v>
      </c>
      <c r="C4766" s="8" t="s">
        <v>12</v>
      </c>
      <c r="D4766" s="9">
        <v>0</v>
      </c>
      <c r="E4766" s="8">
        <v>277</v>
      </c>
    </row>
    <row r="4767" s="3" customFormat="1" ht="18.75" spans="1:5">
      <c r="A4767" s="8" t="str">
        <f t="shared" si="84"/>
        <v>250023</v>
      </c>
      <c r="B4767" s="8" t="str">
        <f>"2561406010506"</f>
        <v>2561406010506</v>
      </c>
      <c r="C4767" s="8" t="s">
        <v>12</v>
      </c>
      <c r="D4767" s="9">
        <v>0</v>
      </c>
      <c r="E4767" s="8">
        <v>277</v>
      </c>
    </row>
    <row r="4768" s="3" customFormat="1" ht="18.75" spans="1:5">
      <c r="A4768" s="8" t="str">
        <f t="shared" si="84"/>
        <v>250023</v>
      </c>
      <c r="B4768" s="8" t="str">
        <f>"2561406010508"</f>
        <v>2561406010508</v>
      </c>
      <c r="C4768" s="8" t="s">
        <v>12</v>
      </c>
      <c r="D4768" s="9">
        <v>0</v>
      </c>
      <c r="E4768" s="8">
        <v>277</v>
      </c>
    </row>
    <row r="4769" s="3" customFormat="1" ht="18.75" spans="1:5">
      <c r="A4769" s="8" t="str">
        <f t="shared" si="84"/>
        <v>250023</v>
      </c>
      <c r="B4769" s="8" t="str">
        <f>"2561406010509"</f>
        <v>2561406010509</v>
      </c>
      <c r="C4769" s="8" t="s">
        <v>12</v>
      </c>
      <c r="D4769" s="9">
        <v>0</v>
      </c>
      <c r="E4769" s="8">
        <v>277</v>
      </c>
    </row>
    <row r="4770" s="3" customFormat="1" ht="18.75" spans="1:5">
      <c r="A4770" s="8" t="str">
        <f t="shared" si="84"/>
        <v>250023</v>
      </c>
      <c r="B4770" s="8" t="str">
        <f>"2561406010511"</f>
        <v>2561406010511</v>
      </c>
      <c r="C4770" s="8" t="s">
        <v>12</v>
      </c>
      <c r="D4770" s="9">
        <v>0</v>
      </c>
      <c r="E4770" s="8">
        <v>277</v>
      </c>
    </row>
    <row r="4771" s="3" customFormat="1" ht="18.75" spans="1:5">
      <c r="A4771" s="8" t="str">
        <f t="shared" si="84"/>
        <v>250023</v>
      </c>
      <c r="B4771" s="8" t="str">
        <f>"2561406010513"</f>
        <v>2561406010513</v>
      </c>
      <c r="C4771" s="8" t="s">
        <v>12</v>
      </c>
      <c r="D4771" s="9">
        <v>0</v>
      </c>
      <c r="E4771" s="8">
        <v>277</v>
      </c>
    </row>
    <row r="4772" s="3" customFormat="1" ht="18.75" spans="1:5">
      <c r="A4772" s="8" t="str">
        <f t="shared" si="84"/>
        <v>250023</v>
      </c>
      <c r="B4772" s="8" t="str">
        <f>"2561406010516"</f>
        <v>2561406010516</v>
      </c>
      <c r="C4772" s="8" t="s">
        <v>12</v>
      </c>
      <c r="D4772" s="9">
        <v>0</v>
      </c>
      <c r="E4772" s="8">
        <v>277</v>
      </c>
    </row>
    <row r="4773" s="3" customFormat="1" ht="18.75" spans="1:5">
      <c r="A4773" s="8" t="str">
        <f t="shared" si="84"/>
        <v>250023</v>
      </c>
      <c r="B4773" s="8" t="str">
        <f>"2561406010517"</f>
        <v>2561406010517</v>
      </c>
      <c r="C4773" s="8" t="s">
        <v>12</v>
      </c>
      <c r="D4773" s="9">
        <v>0</v>
      </c>
      <c r="E4773" s="8">
        <v>277</v>
      </c>
    </row>
    <row r="4774" s="3" customFormat="1" ht="18.75" spans="1:5">
      <c r="A4774" s="8" t="str">
        <f t="shared" si="84"/>
        <v>250023</v>
      </c>
      <c r="B4774" s="8" t="str">
        <f>"2561406010518"</f>
        <v>2561406010518</v>
      </c>
      <c r="C4774" s="8" t="s">
        <v>12</v>
      </c>
      <c r="D4774" s="9">
        <v>0</v>
      </c>
      <c r="E4774" s="8">
        <v>277</v>
      </c>
    </row>
    <row r="4775" s="3" customFormat="1" ht="18.75" spans="1:5">
      <c r="A4775" s="8" t="str">
        <f t="shared" si="84"/>
        <v>250023</v>
      </c>
      <c r="B4775" s="8" t="str">
        <f>"2561406010520"</f>
        <v>2561406010520</v>
      </c>
      <c r="C4775" s="8" t="s">
        <v>12</v>
      </c>
      <c r="D4775" s="9">
        <v>0</v>
      </c>
      <c r="E4775" s="8">
        <v>277</v>
      </c>
    </row>
    <row r="4776" s="3" customFormat="1" ht="18.75" spans="1:5">
      <c r="A4776" s="8" t="str">
        <f t="shared" si="84"/>
        <v>250023</v>
      </c>
      <c r="B4776" s="8" t="str">
        <f>"2561406010523"</f>
        <v>2561406010523</v>
      </c>
      <c r="C4776" s="8" t="s">
        <v>12</v>
      </c>
      <c r="D4776" s="9">
        <v>0</v>
      </c>
      <c r="E4776" s="8">
        <v>277</v>
      </c>
    </row>
    <row r="4777" s="3" customFormat="1" ht="18.75" spans="1:5">
      <c r="A4777" s="8" t="str">
        <f t="shared" si="84"/>
        <v>250023</v>
      </c>
      <c r="B4777" s="8" t="str">
        <f>"2561406010524"</f>
        <v>2561406010524</v>
      </c>
      <c r="C4777" s="8" t="s">
        <v>12</v>
      </c>
      <c r="D4777" s="9">
        <v>0</v>
      </c>
      <c r="E4777" s="8">
        <v>277</v>
      </c>
    </row>
    <row r="4778" s="3" customFormat="1" ht="18.75" spans="1:5">
      <c r="A4778" s="8" t="str">
        <f t="shared" si="84"/>
        <v>250023</v>
      </c>
      <c r="B4778" s="8" t="str">
        <f>"2561406010525"</f>
        <v>2561406010525</v>
      </c>
      <c r="C4778" s="8" t="s">
        <v>12</v>
      </c>
      <c r="D4778" s="9">
        <v>0</v>
      </c>
      <c r="E4778" s="8">
        <v>277</v>
      </c>
    </row>
    <row r="4779" s="3" customFormat="1" ht="18.75" spans="1:5">
      <c r="A4779" s="8" t="str">
        <f t="shared" si="84"/>
        <v>250023</v>
      </c>
      <c r="B4779" s="8" t="str">
        <f>"2561406010530"</f>
        <v>2561406010530</v>
      </c>
      <c r="C4779" s="8" t="s">
        <v>12</v>
      </c>
      <c r="D4779" s="9">
        <v>0</v>
      </c>
      <c r="E4779" s="8">
        <v>277</v>
      </c>
    </row>
    <row r="4780" s="3" customFormat="1" ht="18.75" spans="1:5">
      <c r="A4780" s="8" t="str">
        <f t="shared" si="84"/>
        <v>250023</v>
      </c>
      <c r="B4780" s="8" t="str">
        <f>"2561406010604"</f>
        <v>2561406010604</v>
      </c>
      <c r="C4780" s="8" t="s">
        <v>12</v>
      </c>
      <c r="D4780" s="9">
        <v>0</v>
      </c>
      <c r="E4780" s="8">
        <v>277</v>
      </c>
    </row>
    <row r="4781" s="3" customFormat="1" ht="18.75" spans="1:5">
      <c r="A4781" s="8" t="str">
        <f t="shared" si="84"/>
        <v>250023</v>
      </c>
      <c r="B4781" s="8" t="str">
        <f>"2561406010605"</f>
        <v>2561406010605</v>
      </c>
      <c r="C4781" s="8" t="s">
        <v>12</v>
      </c>
      <c r="D4781" s="9">
        <v>0</v>
      </c>
      <c r="E4781" s="8">
        <v>277</v>
      </c>
    </row>
    <row r="4782" s="3" customFormat="1" ht="18.75" spans="1:5">
      <c r="A4782" s="8" t="str">
        <f t="shared" si="84"/>
        <v>250023</v>
      </c>
      <c r="B4782" s="8" t="str">
        <f>"2561406010608"</f>
        <v>2561406010608</v>
      </c>
      <c r="C4782" s="8" t="s">
        <v>12</v>
      </c>
      <c r="D4782" s="9">
        <v>0</v>
      </c>
      <c r="E4782" s="8">
        <v>277</v>
      </c>
    </row>
    <row r="4783" s="3" customFormat="1" ht="18.75" spans="1:5">
      <c r="A4783" s="8" t="str">
        <f t="shared" si="84"/>
        <v>250023</v>
      </c>
      <c r="B4783" s="8" t="str">
        <f>"2561406010612"</f>
        <v>2561406010612</v>
      </c>
      <c r="C4783" s="8" t="s">
        <v>12</v>
      </c>
      <c r="D4783" s="9">
        <v>0</v>
      </c>
      <c r="E4783" s="8">
        <v>277</v>
      </c>
    </row>
    <row r="4784" s="3" customFormat="1" ht="18.75" spans="1:5">
      <c r="A4784" s="8" t="str">
        <f t="shared" si="84"/>
        <v>250023</v>
      </c>
      <c r="B4784" s="8" t="str">
        <f>"2561406010614"</f>
        <v>2561406010614</v>
      </c>
      <c r="C4784" s="8" t="s">
        <v>12</v>
      </c>
      <c r="D4784" s="9">
        <v>0</v>
      </c>
      <c r="E4784" s="8">
        <v>277</v>
      </c>
    </row>
    <row r="4785" s="3" customFormat="1" ht="18.75" spans="1:5">
      <c r="A4785" s="8" t="str">
        <f t="shared" si="84"/>
        <v>250023</v>
      </c>
      <c r="B4785" s="8" t="str">
        <f>"2561406010616"</f>
        <v>2561406010616</v>
      </c>
      <c r="C4785" s="8" t="s">
        <v>12</v>
      </c>
      <c r="D4785" s="9">
        <v>0</v>
      </c>
      <c r="E4785" s="8">
        <v>277</v>
      </c>
    </row>
    <row r="4786" s="3" customFormat="1" ht="18.75" spans="1:5">
      <c r="A4786" s="8" t="str">
        <f t="shared" si="84"/>
        <v>250023</v>
      </c>
      <c r="B4786" s="8" t="str">
        <f>"2561406010620"</f>
        <v>2561406010620</v>
      </c>
      <c r="C4786" s="8" t="s">
        <v>12</v>
      </c>
      <c r="D4786" s="9">
        <v>0</v>
      </c>
      <c r="E4786" s="8">
        <v>277</v>
      </c>
    </row>
    <row r="4787" s="3" customFormat="1" ht="18.75" spans="1:5">
      <c r="A4787" s="8" t="str">
        <f t="shared" si="84"/>
        <v>250023</v>
      </c>
      <c r="B4787" s="8" t="str">
        <f>"2561406010623"</f>
        <v>2561406010623</v>
      </c>
      <c r="C4787" s="8" t="s">
        <v>12</v>
      </c>
      <c r="D4787" s="9">
        <v>0</v>
      </c>
      <c r="E4787" s="8">
        <v>277</v>
      </c>
    </row>
    <row r="4788" s="3" customFormat="1" ht="18.75" spans="1:5">
      <c r="A4788" s="8" t="str">
        <f t="shared" si="84"/>
        <v>250023</v>
      </c>
      <c r="B4788" s="8" t="str">
        <f>"2561406010625"</f>
        <v>2561406010625</v>
      </c>
      <c r="C4788" s="8" t="s">
        <v>12</v>
      </c>
      <c r="D4788" s="9">
        <v>0</v>
      </c>
      <c r="E4788" s="8">
        <v>277</v>
      </c>
    </row>
    <row r="4789" s="3" customFormat="1" ht="18.75" spans="1:5">
      <c r="A4789" s="8" t="str">
        <f t="shared" si="84"/>
        <v>250023</v>
      </c>
      <c r="B4789" s="8" t="str">
        <f>"2561406010628"</f>
        <v>2561406010628</v>
      </c>
      <c r="C4789" s="8" t="s">
        <v>12</v>
      </c>
      <c r="D4789" s="9">
        <v>0</v>
      </c>
      <c r="E4789" s="8">
        <v>277</v>
      </c>
    </row>
    <row r="4790" s="3" customFormat="1" ht="18.75" spans="1:5">
      <c r="A4790" s="8" t="str">
        <f t="shared" si="84"/>
        <v>250023</v>
      </c>
      <c r="B4790" s="8" t="str">
        <f>"2561406010629"</f>
        <v>2561406010629</v>
      </c>
      <c r="C4790" s="8" t="s">
        <v>12</v>
      </c>
      <c r="D4790" s="9">
        <v>0</v>
      </c>
      <c r="E4790" s="8">
        <v>277</v>
      </c>
    </row>
    <row r="4791" s="3" customFormat="1" ht="18.75" spans="1:5">
      <c r="A4791" s="8" t="str">
        <f t="shared" si="84"/>
        <v>250023</v>
      </c>
      <c r="B4791" s="8" t="str">
        <f>"2561406010706"</f>
        <v>2561406010706</v>
      </c>
      <c r="C4791" s="8" t="s">
        <v>12</v>
      </c>
      <c r="D4791" s="9">
        <v>0</v>
      </c>
      <c r="E4791" s="8">
        <v>277</v>
      </c>
    </row>
    <row r="4792" s="3" customFormat="1" ht="18.75" spans="1:5">
      <c r="A4792" s="8" t="str">
        <f t="shared" si="84"/>
        <v>250023</v>
      </c>
      <c r="B4792" s="8" t="str">
        <f>"2561406010707"</f>
        <v>2561406010707</v>
      </c>
      <c r="C4792" s="8" t="s">
        <v>12</v>
      </c>
      <c r="D4792" s="9">
        <v>0</v>
      </c>
      <c r="E4792" s="8">
        <v>277</v>
      </c>
    </row>
    <row r="4793" s="3" customFormat="1" ht="18.75" spans="1:5">
      <c r="A4793" s="8" t="str">
        <f t="shared" si="84"/>
        <v>250023</v>
      </c>
      <c r="B4793" s="8" t="str">
        <f>"2561406010708"</f>
        <v>2561406010708</v>
      </c>
      <c r="C4793" s="8" t="s">
        <v>12</v>
      </c>
      <c r="D4793" s="9">
        <v>0</v>
      </c>
      <c r="E4793" s="8">
        <v>277</v>
      </c>
    </row>
    <row r="4794" s="3" customFormat="1" ht="18.75" spans="1:5">
      <c r="A4794" s="8" t="str">
        <f t="shared" si="84"/>
        <v>250023</v>
      </c>
      <c r="B4794" s="8" t="str">
        <f>"2561406010717"</f>
        <v>2561406010717</v>
      </c>
      <c r="C4794" s="8" t="s">
        <v>12</v>
      </c>
      <c r="D4794" s="9">
        <v>0</v>
      </c>
      <c r="E4794" s="8">
        <v>277</v>
      </c>
    </row>
    <row r="4795" s="3" customFormat="1" ht="18.75" spans="1:5">
      <c r="A4795" s="8" t="str">
        <f t="shared" si="84"/>
        <v>250023</v>
      </c>
      <c r="B4795" s="8" t="str">
        <f>"2561406010718"</f>
        <v>2561406010718</v>
      </c>
      <c r="C4795" s="8" t="s">
        <v>12</v>
      </c>
      <c r="D4795" s="9">
        <v>0</v>
      </c>
      <c r="E4795" s="8">
        <v>277</v>
      </c>
    </row>
    <row r="4796" s="3" customFormat="1" ht="18.75" spans="1:5">
      <c r="A4796" s="8" t="str">
        <f t="shared" si="84"/>
        <v>250023</v>
      </c>
      <c r="B4796" s="8" t="str">
        <f>"2561406010719"</f>
        <v>2561406010719</v>
      </c>
      <c r="C4796" s="8" t="s">
        <v>12</v>
      </c>
      <c r="D4796" s="9">
        <v>0</v>
      </c>
      <c r="E4796" s="8">
        <v>277</v>
      </c>
    </row>
    <row r="4797" s="3" customFormat="1" ht="18.75" spans="1:5">
      <c r="A4797" s="8" t="str">
        <f t="shared" si="84"/>
        <v>250023</v>
      </c>
      <c r="B4797" s="8" t="str">
        <f>"2561406010720"</f>
        <v>2561406010720</v>
      </c>
      <c r="C4797" s="8" t="s">
        <v>12</v>
      </c>
      <c r="D4797" s="9">
        <v>0</v>
      </c>
      <c r="E4797" s="8">
        <v>277</v>
      </c>
    </row>
    <row r="4798" s="3" customFormat="1" ht="18.75" spans="1:5">
      <c r="A4798" s="8" t="str">
        <f t="shared" si="84"/>
        <v>250023</v>
      </c>
      <c r="B4798" s="8" t="str">
        <f>"2561406010723"</f>
        <v>2561406010723</v>
      </c>
      <c r="C4798" s="8" t="s">
        <v>12</v>
      </c>
      <c r="D4798" s="9">
        <v>0</v>
      </c>
      <c r="E4798" s="8">
        <v>277</v>
      </c>
    </row>
    <row r="4799" s="3" customFormat="1" ht="18.75" spans="1:5">
      <c r="A4799" s="8" t="str">
        <f t="shared" si="84"/>
        <v>250023</v>
      </c>
      <c r="B4799" s="8" t="str">
        <f>"2561406010724"</f>
        <v>2561406010724</v>
      </c>
      <c r="C4799" s="8" t="s">
        <v>12</v>
      </c>
      <c r="D4799" s="9">
        <v>0</v>
      </c>
      <c r="E4799" s="8">
        <v>277</v>
      </c>
    </row>
    <row r="4800" s="3" customFormat="1" ht="18.75" spans="1:5">
      <c r="A4800" s="8" t="str">
        <f t="shared" si="84"/>
        <v>250023</v>
      </c>
      <c r="B4800" s="8" t="str">
        <f>"2561406010728"</f>
        <v>2561406010728</v>
      </c>
      <c r="C4800" s="8" t="s">
        <v>12</v>
      </c>
      <c r="D4800" s="9">
        <v>0</v>
      </c>
      <c r="E4800" s="8">
        <v>277</v>
      </c>
    </row>
    <row r="4801" s="3" customFormat="1" ht="18.75" spans="1:5">
      <c r="A4801" s="8" t="str">
        <f t="shared" si="84"/>
        <v>250023</v>
      </c>
      <c r="B4801" s="8" t="str">
        <f>"2561406010729"</f>
        <v>2561406010729</v>
      </c>
      <c r="C4801" s="8" t="s">
        <v>12</v>
      </c>
      <c r="D4801" s="9">
        <v>0</v>
      </c>
      <c r="E4801" s="8">
        <v>277</v>
      </c>
    </row>
    <row r="4802" s="3" customFormat="1" ht="18.75" spans="1:5">
      <c r="A4802" s="8" t="str">
        <f t="shared" si="84"/>
        <v>250023</v>
      </c>
      <c r="B4802" s="8" t="str">
        <f>"2561406010730"</f>
        <v>2561406010730</v>
      </c>
      <c r="C4802" s="8" t="s">
        <v>12</v>
      </c>
      <c r="D4802" s="9">
        <v>0</v>
      </c>
      <c r="E4802" s="8">
        <v>277</v>
      </c>
    </row>
    <row r="4803" s="3" customFormat="1" ht="18.75" spans="1:5">
      <c r="A4803" s="8" t="str">
        <f t="shared" si="84"/>
        <v>250023</v>
      </c>
      <c r="B4803" s="8" t="str">
        <f>"2561406010805"</f>
        <v>2561406010805</v>
      </c>
      <c r="C4803" s="8" t="s">
        <v>12</v>
      </c>
      <c r="D4803" s="9">
        <v>0</v>
      </c>
      <c r="E4803" s="8">
        <v>277</v>
      </c>
    </row>
    <row r="4804" s="3" customFormat="1" ht="18.75" spans="1:5">
      <c r="A4804" s="8" t="str">
        <f t="shared" si="84"/>
        <v>250023</v>
      </c>
      <c r="B4804" s="8" t="str">
        <f>"2561406010806"</f>
        <v>2561406010806</v>
      </c>
      <c r="C4804" s="8" t="s">
        <v>12</v>
      </c>
      <c r="D4804" s="9">
        <v>0</v>
      </c>
      <c r="E4804" s="8">
        <v>277</v>
      </c>
    </row>
    <row r="4805" s="3" customFormat="1" ht="18.75" spans="1:5">
      <c r="A4805" s="8" t="str">
        <f t="shared" si="84"/>
        <v>250023</v>
      </c>
      <c r="B4805" s="8" t="str">
        <f>"2561406010807"</f>
        <v>2561406010807</v>
      </c>
      <c r="C4805" s="8" t="s">
        <v>12</v>
      </c>
      <c r="D4805" s="9">
        <v>0</v>
      </c>
      <c r="E4805" s="8">
        <v>277</v>
      </c>
    </row>
    <row r="4806" s="3" customFormat="1" ht="18.75" spans="1:5">
      <c r="A4806" s="8" t="str">
        <f t="shared" si="84"/>
        <v>250023</v>
      </c>
      <c r="B4806" s="8" t="str">
        <f>"2561406010811"</f>
        <v>2561406010811</v>
      </c>
      <c r="C4806" s="8" t="s">
        <v>12</v>
      </c>
      <c r="D4806" s="9">
        <v>0</v>
      </c>
      <c r="E4806" s="8">
        <v>277</v>
      </c>
    </row>
    <row r="4807" s="3" customFormat="1" ht="18.75" spans="1:5">
      <c r="A4807" s="8" t="str">
        <f t="shared" si="84"/>
        <v>250023</v>
      </c>
      <c r="B4807" s="8" t="str">
        <f>"2561406010812"</f>
        <v>2561406010812</v>
      </c>
      <c r="C4807" s="8" t="s">
        <v>12</v>
      </c>
      <c r="D4807" s="9">
        <v>0</v>
      </c>
      <c r="E4807" s="8">
        <v>277</v>
      </c>
    </row>
    <row r="4808" s="3" customFormat="1" ht="18.75" spans="1:5">
      <c r="A4808" s="8" t="str">
        <f t="shared" si="84"/>
        <v>250023</v>
      </c>
      <c r="B4808" s="8" t="str">
        <f>"2561406010816"</f>
        <v>2561406010816</v>
      </c>
      <c r="C4808" s="8" t="s">
        <v>12</v>
      </c>
      <c r="D4808" s="9">
        <v>0</v>
      </c>
      <c r="E4808" s="8">
        <v>277</v>
      </c>
    </row>
    <row r="4809" s="3" customFormat="1" ht="18.75" spans="1:5">
      <c r="A4809" s="8" t="str">
        <f t="shared" si="84"/>
        <v>250023</v>
      </c>
      <c r="B4809" s="8" t="str">
        <f>"2561406010820"</f>
        <v>2561406010820</v>
      </c>
      <c r="C4809" s="8" t="s">
        <v>12</v>
      </c>
      <c r="D4809" s="9">
        <v>0</v>
      </c>
      <c r="E4809" s="8">
        <v>277</v>
      </c>
    </row>
    <row r="4810" s="3" customFormat="1" ht="18.75" spans="1:5">
      <c r="A4810" s="8" t="str">
        <f t="shared" si="84"/>
        <v>250023</v>
      </c>
      <c r="B4810" s="8" t="str">
        <f>"2561406010821"</f>
        <v>2561406010821</v>
      </c>
      <c r="C4810" s="8" t="s">
        <v>12</v>
      </c>
      <c r="D4810" s="9">
        <v>0</v>
      </c>
      <c r="E4810" s="8">
        <v>277</v>
      </c>
    </row>
    <row r="4811" s="3" customFormat="1" ht="18.75" spans="1:5">
      <c r="A4811" s="8" t="str">
        <f t="shared" si="84"/>
        <v>250023</v>
      </c>
      <c r="B4811" s="8" t="str">
        <f>"2561406010823"</f>
        <v>2561406010823</v>
      </c>
      <c r="C4811" s="8" t="s">
        <v>12</v>
      </c>
      <c r="D4811" s="9">
        <v>0</v>
      </c>
      <c r="E4811" s="8">
        <v>277</v>
      </c>
    </row>
    <row r="4812" s="3" customFormat="1" ht="18.75" spans="1:5">
      <c r="A4812" s="8" t="str">
        <f t="shared" si="84"/>
        <v>250023</v>
      </c>
      <c r="B4812" s="8" t="str">
        <f>"2561406010825"</f>
        <v>2561406010825</v>
      </c>
      <c r="C4812" s="8" t="s">
        <v>12</v>
      </c>
      <c r="D4812" s="9">
        <v>0</v>
      </c>
      <c r="E4812" s="8">
        <v>277</v>
      </c>
    </row>
    <row r="4813" s="3" customFormat="1" ht="18.75" spans="1:5">
      <c r="A4813" s="8" t="str">
        <f t="shared" si="84"/>
        <v>250023</v>
      </c>
      <c r="B4813" s="8" t="str">
        <f>"2561406010826"</f>
        <v>2561406010826</v>
      </c>
      <c r="C4813" s="8" t="s">
        <v>12</v>
      </c>
      <c r="D4813" s="9">
        <v>0</v>
      </c>
      <c r="E4813" s="8">
        <v>277</v>
      </c>
    </row>
    <row r="4814" s="3" customFormat="1" ht="18.75" spans="1:5">
      <c r="A4814" s="8" t="str">
        <f t="shared" si="84"/>
        <v>250023</v>
      </c>
      <c r="B4814" s="8" t="str">
        <f>"2561406010829"</f>
        <v>2561406010829</v>
      </c>
      <c r="C4814" s="8" t="s">
        <v>12</v>
      </c>
      <c r="D4814" s="9">
        <v>0</v>
      </c>
      <c r="E4814" s="8">
        <v>277</v>
      </c>
    </row>
    <row r="4815" s="3" customFormat="1" ht="18.75" spans="1:5">
      <c r="A4815" s="8" t="str">
        <f t="shared" si="84"/>
        <v>250023</v>
      </c>
      <c r="B4815" s="8" t="str">
        <f>"2561406010902"</f>
        <v>2561406010902</v>
      </c>
      <c r="C4815" s="8" t="s">
        <v>12</v>
      </c>
      <c r="D4815" s="9">
        <v>0</v>
      </c>
      <c r="E4815" s="8">
        <v>277</v>
      </c>
    </row>
    <row r="4816" s="3" customFormat="1" ht="18.75" spans="1:5">
      <c r="A4816" s="8" t="str">
        <f t="shared" si="84"/>
        <v>250023</v>
      </c>
      <c r="B4816" s="8" t="str">
        <f>"2561406010906"</f>
        <v>2561406010906</v>
      </c>
      <c r="C4816" s="8" t="s">
        <v>12</v>
      </c>
      <c r="D4816" s="9">
        <v>0</v>
      </c>
      <c r="E4816" s="8">
        <v>277</v>
      </c>
    </row>
    <row r="4817" s="3" customFormat="1" ht="18.75" spans="1:5">
      <c r="A4817" s="8" t="str">
        <f t="shared" si="84"/>
        <v>250023</v>
      </c>
      <c r="B4817" s="8" t="str">
        <f>"2561406010912"</f>
        <v>2561406010912</v>
      </c>
      <c r="C4817" s="8" t="s">
        <v>12</v>
      </c>
      <c r="D4817" s="9">
        <v>0</v>
      </c>
      <c r="E4817" s="8">
        <v>277</v>
      </c>
    </row>
    <row r="4818" s="3" customFormat="1" ht="18.75" spans="1:5">
      <c r="A4818" s="8" t="str">
        <f t="shared" si="84"/>
        <v>250023</v>
      </c>
      <c r="B4818" s="8" t="str">
        <f>"2561406010915"</f>
        <v>2561406010915</v>
      </c>
      <c r="C4818" s="8" t="s">
        <v>12</v>
      </c>
      <c r="D4818" s="9">
        <v>0</v>
      </c>
      <c r="E4818" s="8">
        <v>277</v>
      </c>
    </row>
    <row r="4819" s="3" customFormat="1" ht="18.75" spans="1:5">
      <c r="A4819" s="8" t="str">
        <f t="shared" si="84"/>
        <v>250023</v>
      </c>
      <c r="B4819" s="8" t="str">
        <f>"2561406010916"</f>
        <v>2561406010916</v>
      </c>
      <c r="C4819" s="8" t="s">
        <v>12</v>
      </c>
      <c r="D4819" s="9">
        <v>0</v>
      </c>
      <c r="E4819" s="8">
        <v>277</v>
      </c>
    </row>
    <row r="4820" s="3" customFormat="1" ht="18.75" spans="1:5">
      <c r="A4820" s="8" t="str">
        <f t="shared" si="84"/>
        <v>250023</v>
      </c>
      <c r="B4820" s="8" t="str">
        <f>"2561406010917"</f>
        <v>2561406010917</v>
      </c>
      <c r="C4820" s="8" t="s">
        <v>12</v>
      </c>
      <c r="D4820" s="9">
        <v>0</v>
      </c>
      <c r="E4820" s="8">
        <v>277</v>
      </c>
    </row>
    <row r="4821" s="3" customFormat="1" ht="18.75" spans="1:5">
      <c r="A4821" s="8" t="str">
        <f t="shared" si="84"/>
        <v>250023</v>
      </c>
      <c r="B4821" s="8" t="str">
        <f>"2561406010919"</f>
        <v>2561406010919</v>
      </c>
      <c r="C4821" s="8" t="s">
        <v>12</v>
      </c>
      <c r="D4821" s="9">
        <v>0</v>
      </c>
      <c r="E4821" s="8">
        <v>277</v>
      </c>
    </row>
    <row r="4822" s="3" customFormat="1" ht="18.75" spans="1:5">
      <c r="A4822" s="8" t="str">
        <f t="shared" si="84"/>
        <v>250023</v>
      </c>
      <c r="B4822" s="8" t="str">
        <f>"2561406010920"</f>
        <v>2561406010920</v>
      </c>
      <c r="C4822" s="8" t="s">
        <v>12</v>
      </c>
      <c r="D4822" s="9">
        <v>0</v>
      </c>
      <c r="E4822" s="8">
        <v>277</v>
      </c>
    </row>
    <row r="4823" s="3" customFormat="1" ht="18.75" spans="1:5">
      <c r="A4823" s="8" t="str">
        <f t="shared" si="84"/>
        <v>250023</v>
      </c>
      <c r="B4823" s="8" t="str">
        <f>"2561406010921"</f>
        <v>2561406010921</v>
      </c>
      <c r="C4823" s="8" t="s">
        <v>12</v>
      </c>
      <c r="D4823" s="9">
        <v>0</v>
      </c>
      <c r="E4823" s="8">
        <v>277</v>
      </c>
    </row>
    <row r="4824" s="3" customFormat="1" ht="18.75" spans="1:5">
      <c r="A4824" s="8" t="str">
        <f t="shared" si="84"/>
        <v>250023</v>
      </c>
      <c r="B4824" s="8" t="str">
        <f>"2561406010922"</f>
        <v>2561406010922</v>
      </c>
      <c r="C4824" s="8" t="s">
        <v>12</v>
      </c>
      <c r="D4824" s="9">
        <v>0</v>
      </c>
      <c r="E4824" s="8">
        <v>277</v>
      </c>
    </row>
    <row r="4825" s="3" customFormat="1" ht="18.75" spans="1:5">
      <c r="A4825" s="8" t="str">
        <f t="shared" ref="A4825:A4888" si="85">"250023"</f>
        <v>250023</v>
      </c>
      <c r="B4825" s="8" t="str">
        <f>"2561406010923"</f>
        <v>2561406010923</v>
      </c>
      <c r="C4825" s="8" t="s">
        <v>12</v>
      </c>
      <c r="D4825" s="9">
        <v>0</v>
      </c>
      <c r="E4825" s="8">
        <v>277</v>
      </c>
    </row>
    <row r="4826" s="3" customFormat="1" ht="18.75" spans="1:5">
      <c r="A4826" s="8" t="str">
        <f t="shared" si="85"/>
        <v>250023</v>
      </c>
      <c r="B4826" s="8" t="str">
        <f>"2561406010926"</f>
        <v>2561406010926</v>
      </c>
      <c r="C4826" s="8" t="s">
        <v>12</v>
      </c>
      <c r="D4826" s="9">
        <v>0</v>
      </c>
      <c r="E4826" s="8">
        <v>277</v>
      </c>
    </row>
    <row r="4827" s="3" customFormat="1" ht="18.75" spans="1:5">
      <c r="A4827" s="8" t="str">
        <f t="shared" si="85"/>
        <v>250023</v>
      </c>
      <c r="B4827" s="8" t="str">
        <f>"2561406010927"</f>
        <v>2561406010927</v>
      </c>
      <c r="C4827" s="8" t="s">
        <v>12</v>
      </c>
      <c r="D4827" s="9">
        <v>0</v>
      </c>
      <c r="E4827" s="8">
        <v>277</v>
      </c>
    </row>
    <row r="4828" s="3" customFormat="1" ht="18.75" spans="1:5">
      <c r="A4828" s="8" t="str">
        <f t="shared" si="85"/>
        <v>250023</v>
      </c>
      <c r="B4828" s="8" t="str">
        <f>"2561406010930"</f>
        <v>2561406010930</v>
      </c>
      <c r="C4828" s="8" t="s">
        <v>12</v>
      </c>
      <c r="D4828" s="9">
        <v>0</v>
      </c>
      <c r="E4828" s="8">
        <v>277</v>
      </c>
    </row>
    <row r="4829" s="3" customFormat="1" ht="18.75" spans="1:5">
      <c r="A4829" s="8" t="str">
        <f t="shared" si="85"/>
        <v>250023</v>
      </c>
      <c r="B4829" s="8" t="str">
        <f>"2561406011003"</f>
        <v>2561406011003</v>
      </c>
      <c r="C4829" s="8" t="s">
        <v>12</v>
      </c>
      <c r="D4829" s="9">
        <v>0</v>
      </c>
      <c r="E4829" s="8">
        <v>277</v>
      </c>
    </row>
    <row r="4830" s="3" customFormat="1" ht="18.75" spans="1:5">
      <c r="A4830" s="8" t="str">
        <f t="shared" si="85"/>
        <v>250023</v>
      </c>
      <c r="B4830" s="8" t="str">
        <f>"2561406011004"</f>
        <v>2561406011004</v>
      </c>
      <c r="C4830" s="8" t="s">
        <v>12</v>
      </c>
      <c r="D4830" s="9">
        <v>0</v>
      </c>
      <c r="E4830" s="8">
        <v>277</v>
      </c>
    </row>
    <row r="4831" s="3" customFormat="1" ht="18.75" spans="1:5">
      <c r="A4831" s="8" t="str">
        <f t="shared" si="85"/>
        <v>250023</v>
      </c>
      <c r="B4831" s="8" t="str">
        <f>"2561406011007"</f>
        <v>2561406011007</v>
      </c>
      <c r="C4831" s="8" t="s">
        <v>12</v>
      </c>
      <c r="D4831" s="9">
        <v>0</v>
      </c>
      <c r="E4831" s="8">
        <v>277</v>
      </c>
    </row>
    <row r="4832" s="3" customFormat="1" ht="18.75" spans="1:5">
      <c r="A4832" s="8" t="str">
        <f t="shared" si="85"/>
        <v>250023</v>
      </c>
      <c r="B4832" s="8" t="str">
        <f>"2561406011011"</f>
        <v>2561406011011</v>
      </c>
      <c r="C4832" s="8" t="s">
        <v>12</v>
      </c>
      <c r="D4832" s="9">
        <v>0</v>
      </c>
      <c r="E4832" s="8">
        <v>277</v>
      </c>
    </row>
    <row r="4833" s="3" customFormat="1" ht="18.75" spans="1:5">
      <c r="A4833" s="8" t="str">
        <f t="shared" si="85"/>
        <v>250023</v>
      </c>
      <c r="B4833" s="8" t="str">
        <f>"2561406011012"</f>
        <v>2561406011012</v>
      </c>
      <c r="C4833" s="8" t="s">
        <v>12</v>
      </c>
      <c r="D4833" s="9">
        <v>0</v>
      </c>
      <c r="E4833" s="8">
        <v>277</v>
      </c>
    </row>
    <row r="4834" s="3" customFormat="1" ht="18.75" spans="1:5">
      <c r="A4834" s="8" t="str">
        <f t="shared" si="85"/>
        <v>250023</v>
      </c>
      <c r="B4834" s="8" t="str">
        <f>"2561406011013"</f>
        <v>2561406011013</v>
      </c>
      <c r="C4834" s="8" t="s">
        <v>12</v>
      </c>
      <c r="D4834" s="9">
        <v>0</v>
      </c>
      <c r="E4834" s="8">
        <v>277</v>
      </c>
    </row>
    <row r="4835" s="3" customFormat="1" ht="18.75" spans="1:5">
      <c r="A4835" s="8" t="str">
        <f t="shared" si="85"/>
        <v>250023</v>
      </c>
      <c r="B4835" s="8" t="str">
        <f>"2561406011014"</f>
        <v>2561406011014</v>
      </c>
      <c r="C4835" s="8" t="s">
        <v>12</v>
      </c>
      <c r="D4835" s="9">
        <v>0</v>
      </c>
      <c r="E4835" s="8">
        <v>277</v>
      </c>
    </row>
    <row r="4836" s="3" customFormat="1" ht="18.75" spans="1:5">
      <c r="A4836" s="8" t="str">
        <f t="shared" si="85"/>
        <v>250023</v>
      </c>
      <c r="B4836" s="8" t="str">
        <f>"2561406011019"</f>
        <v>2561406011019</v>
      </c>
      <c r="C4836" s="8" t="s">
        <v>12</v>
      </c>
      <c r="D4836" s="9">
        <v>0</v>
      </c>
      <c r="E4836" s="8">
        <v>277</v>
      </c>
    </row>
    <row r="4837" s="3" customFormat="1" ht="18.75" spans="1:5">
      <c r="A4837" s="8" t="str">
        <f t="shared" si="85"/>
        <v>250023</v>
      </c>
      <c r="B4837" s="8" t="str">
        <f>"2561406011025"</f>
        <v>2561406011025</v>
      </c>
      <c r="C4837" s="8" t="s">
        <v>12</v>
      </c>
      <c r="D4837" s="9">
        <v>0</v>
      </c>
      <c r="E4837" s="8">
        <v>277</v>
      </c>
    </row>
    <row r="4838" s="3" customFormat="1" ht="18.75" spans="1:5">
      <c r="A4838" s="8" t="str">
        <f t="shared" si="85"/>
        <v>250023</v>
      </c>
      <c r="B4838" s="8" t="str">
        <f>"2561406011028"</f>
        <v>2561406011028</v>
      </c>
      <c r="C4838" s="8" t="s">
        <v>12</v>
      </c>
      <c r="D4838" s="9">
        <v>0</v>
      </c>
      <c r="E4838" s="8">
        <v>277</v>
      </c>
    </row>
    <row r="4839" s="3" customFormat="1" ht="18.75" spans="1:5">
      <c r="A4839" s="8" t="str">
        <f t="shared" si="85"/>
        <v>250023</v>
      </c>
      <c r="B4839" s="8" t="str">
        <f>"2561406011029"</f>
        <v>2561406011029</v>
      </c>
      <c r="C4839" s="8" t="s">
        <v>12</v>
      </c>
      <c r="D4839" s="9">
        <v>0</v>
      </c>
      <c r="E4839" s="8">
        <v>277</v>
      </c>
    </row>
    <row r="4840" s="3" customFormat="1" ht="18.75" spans="1:5">
      <c r="A4840" s="8" t="str">
        <f t="shared" si="85"/>
        <v>250023</v>
      </c>
      <c r="B4840" s="8" t="str">
        <f>"2561406011030"</f>
        <v>2561406011030</v>
      </c>
      <c r="C4840" s="8" t="s">
        <v>12</v>
      </c>
      <c r="D4840" s="9">
        <v>0</v>
      </c>
      <c r="E4840" s="8">
        <v>277</v>
      </c>
    </row>
    <row r="4841" s="3" customFormat="1" ht="18.75" spans="1:5">
      <c r="A4841" s="8" t="str">
        <f t="shared" si="85"/>
        <v>250023</v>
      </c>
      <c r="B4841" s="8" t="str">
        <f>"2561406011107"</f>
        <v>2561406011107</v>
      </c>
      <c r="C4841" s="8" t="s">
        <v>12</v>
      </c>
      <c r="D4841" s="9">
        <v>0</v>
      </c>
      <c r="E4841" s="8">
        <v>277</v>
      </c>
    </row>
    <row r="4842" s="3" customFormat="1" ht="18.75" spans="1:5">
      <c r="A4842" s="8" t="str">
        <f t="shared" si="85"/>
        <v>250023</v>
      </c>
      <c r="B4842" s="8" t="str">
        <f>"2561406011109"</f>
        <v>2561406011109</v>
      </c>
      <c r="C4842" s="8" t="s">
        <v>12</v>
      </c>
      <c r="D4842" s="9">
        <v>0</v>
      </c>
      <c r="E4842" s="8">
        <v>277</v>
      </c>
    </row>
    <row r="4843" s="3" customFormat="1" ht="18.75" spans="1:5">
      <c r="A4843" s="8" t="str">
        <f t="shared" si="85"/>
        <v>250023</v>
      </c>
      <c r="B4843" s="8" t="str">
        <f>"2561406011110"</f>
        <v>2561406011110</v>
      </c>
      <c r="C4843" s="8" t="s">
        <v>12</v>
      </c>
      <c r="D4843" s="9">
        <v>0</v>
      </c>
      <c r="E4843" s="8">
        <v>277</v>
      </c>
    </row>
    <row r="4844" s="3" customFormat="1" ht="18.75" spans="1:5">
      <c r="A4844" s="8" t="str">
        <f t="shared" si="85"/>
        <v>250023</v>
      </c>
      <c r="B4844" s="8" t="str">
        <f>"2561406011113"</f>
        <v>2561406011113</v>
      </c>
      <c r="C4844" s="8" t="s">
        <v>12</v>
      </c>
      <c r="D4844" s="9">
        <v>0</v>
      </c>
      <c r="E4844" s="8">
        <v>277</v>
      </c>
    </row>
    <row r="4845" s="3" customFormat="1" ht="18.75" spans="1:5">
      <c r="A4845" s="8" t="str">
        <f t="shared" si="85"/>
        <v>250023</v>
      </c>
      <c r="B4845" s="8" t="str">
        <f>"2561406011117"</f>
        <v>2561406011117</v>
      </c>
      <c r="C4845" s="8" t="s">
        <v>12</v>
      </c>
      <c r="D4845" s="9">
        <v>0</v>
      </c>
      <c r="E4845" s="8">
        <v>277</v>
      </c>
    </row>
    <row r="4846" s="3" customFormat="1" ht="18.75" spans="1:5">
      <c r="A4846" s="8" t="str">
        <f t="shared" si="85"/>
        <v>250023</v>
      </c>
      <c r="B4846" s="8" t="str">
        <f>"2561406011121"</f>
        <v>2561406011121</v>
      </c>
      <c r="C4846" s="8" t="s">
        <v>12</v>
      </c>
      <c r="D4846" s="9">
        <v>0</v>
      </c>
      <c r="E4846" s="8">
        <v>277</v>
      </c>
    </row>
    <row r="4847" s="3" customFormat="1" ht="18.75" spans="1:5">
      <c r="A4847" s="8" t="str">
        <f t="shared" si="85"/>
        <v>250023</v>
      </c>
      <c r="B4847" s="8" t="str">
        <f>"2561406011127"</f>
        <v>2561406011127</v>
      </c>
      <c r="C4847" s="8" t="s">
        <v>12</v>
      </c>
      <c r="D4847" s="9">
        <v>0</v>
      </c>
      <c r="E4847" s="8">
        <v>277</v>
      </c>
    </row>
    <row r="4848" s="3" customFormat="1" ht="18.75" spans="1:5">
      <c r="A4848" s="8" t="str">
        <f t="shared" si="85"/>
        <v>250023</v>
      </c>
      <c r="B4848" s="8" t="str">
        <f>"2561406011128"</f>
        <v>2561406011128</v>
      </c>
      <c r="C4848" s="8" t="s">
        <v>12</v>
      </c>
      <c r="D4848" s="9">
        <v>0</v>
      </c>
      <c r="E4848" s="8">
        <v>277</v>
      </c>
    </row>
    <row r="4849" s="3" customFormat="1" ht="18.75" spans="1:5">
      <c r="A4849" s="8" t="str">
        <f t="shared" si="85"/>
        <v>250023</v>
      </c>
      <c r="B4849" s="8" t="str">
        <f>"2561406011130"</f>
        <v>2561406011130</v>
      </c>
      <c r="C4849" s="8" t="s">
        <v>12</v>
      </c>
      <c r="D4849" s="9">
        <v>0</v>
      </c>
      <c r="E4849" s="8">
        <v>277</v>
      </c>
    </row>
    <row r="4850" s="3" customFormat="1" ht="18.75" spans="1:5">
      <c r="A4850" s="8" t="str">
        <f t="shared" si="85"/>
        <v>250023</v>
      </c>
      <c r="B4850" s="8" t="str">
        <f>"2561406011211"</f>
        <v>2561406011211</v>
      </c>
      <c r="C4850" s="8" t="s">
        <v>12</v>
      </c>
      <c r="D4850" s="9">
        <v>0</v>
      </c>
      <c r="E4850" s="8">
        <v>277</v>
      </c>
    </row>
    <row r="4851" s="3" customFormat="1" ht="18.75" spans="1:5">
      <c r="A4851" s="8" t="str">
        <f t="shared" si="85"/>
        <v>250023</v>
      </c>
      <c r="B4851" s="8" t="str">
        <f>"2561406011213"</f>
        <v>2561406011213</v>
      </c>
      <c r="C4851" s="8" t="s">
        <v>12</v>
      </c>
      <c r="D4851" s="9">
        <v>0</v>
      </c>
      <c r="E4851" s="8">
        <v>277</v>
      </c>
    </row>
    <row r="4852" s="3" customFormat="1" ht="18.75" spans="1:5">
      <c r="A4852" s="8" t="str">
        <f t="shared" si="85"/>
        <v>250023</v>
      </c>
      <c r="B4852" s="8" t="str">
        <f>"2561406011215"</f>
        <v>2561406011215</v>
      </c>
      <c r="C4852" s="8" t="s">
        <v>12</v>
      </c>
      <c r="D4852" s="9">
        <v>0</v>
      </c>
      <c r="E4852" s="8">
        <v>277</v>
      </c>
    </row>
    <row r="4853" s="3" customFormat="1" ht="18.75" spans="1:5">
      <c r="A4853" s="8" t="str">
        <f t="shared" si="85"/>
        <v>250023</v>
      </c>
      <c r="B4853" s="8" t="str">
        <f>"2561406011219"</f>
        <v>2561406011219</v>
      </c>
      <c r="C4853" s="8" t="s">
        <v>12</v>
      </c>
      <c r="D4853" s="9">
        <v>0</v>
      </c>
      <c r="E4853" s="8">
        <v>277</v>
      </c>
    </row>
    <row r="4854" s="3" customFormat="1" ht="18.75" spans="1:5">
      <c r="A4854" s="8" t="str">
        <f t="shared" si="85"/>
        <v>250023</v>
      </c>
      <c r="B4854" s="8" t="str">
        <f>"2561406011222"</f>
        <v>2561406011222</v>
      </c>
      <c r="C4854" s="8" t="s">
        <v>12</v>
      </c>
      <c r="D4854" s="9">
        <v>0</v>
      </c>
      <c r="E4854" s="8">
        <v>277</v>
      </c>
    </row>
    <row r="4855" s="3" customFormat="1" ht="18.75" spans="1:5">
      <c r="A4855" s="8" t="str">
        <f t="shared" si="85"/>
        <v>250023</v>
      </c>
      <c r="B4855" s="8" t="str">
        <f>"2561406011223"</f>
        <v>2561406011223</v>
      </c>
      <c r="C4855" s="8" t="s">
        <v>12</v>
      </c>
      <c r="D4855" s="9">
        <v>0</v>
      </c>
      <c r="E4855" s="8">
        <v>277</v>
      </c>
    </row>
    <row r="4856" s="3" customFormat="1" ht="18.75" spans="1:5">
      <c r="A4856" s="8" t="str">
        <f t="shared" si="85"/>
        <v>250023</v>
      </c>
      <c r="B4856" s="8" t="str">
        <f>"2561406011226"</f>
        <v>2561406011226</v>
      </c>
      <c r="C4856" s="8" t="s">
        <v>12</v>
      </c>
      <c r="D4856" s="9">
        <v>0</v>
      </c>
      <c r="E4856" s="8">
        <v>277</v>
      </c>
    </row>
    <row r="4857" s="3" customFormat="1" ht="18.75" spans="1:5">
      <c r="A4857" s="8" t="str">
        <f t="shared" si="85"/>
        <v>250023</v>
      </c>
      <c r="B4857" s="8" t="str">
        <f>"2561406011227"</f>
        <v>2561406011227</v>
      </c>
      <c r="C4857" s="8" t="s">
        <v>12</v>
      </c>
      <c r="D4857" s="9">
        <v>0</v>
      </c>
      <c r="E4857" s="8">
        <v>277</v>
      </c>
    </row>
    <row r="4858" s="3" customFormat="1" ht="18.75" spans="1:5">
      <c r="A4858" s="8" t="str">
        <f t="shared" si="85"/>
        <v>250023</v>
      </c>
      <c r="B4858" s="8" t="str">
        <f>"2561406011229"</f>
        <v>2561406011229</v>
      </c>
      <c r="C4858" s="8" t="s">
        <v>12</v>
      </c>
      <c r="D4858" s="9">
        <v>0</v>
      </c>
      <c r="E4858" s="8">
        <v>277</v>
      </c>
    </row>
    <row r="4859" s="3" customFormat="1" ht="18.75" spans="1:5">
      <c r="A4859" s="8" t="str">
        <f t="shared" si="85"/>
        <v>250023</v>
      </c>
      <c r="B4859" s="8" t="str">
        <f>"2561406011230"</f>
        <v>2561406011230</v>
      </c>
      <c r="C4859" s="8" t="s">
        <v>12</v>
      </c>
      <c r="D4859" s="9">
        <v>0</v>
      </c>
      <c r="E4859" s="8">
        <v>277</v>
      </c>
    </row>
    <row r="4860" s="3" customFormat="1" ht="18.75" spans="1:5">
      <c r="A4860" s="8" t="str">
        <f t="shared" si="85"/>
        <v>250023</v>
      </c>
      <c r="B4860" s="8" t="str">
        <f>"2561406011302"</f>
        <v>2561406011302</v>
      </c>
      <c r="C4860" s="8" t="s">
        <v>12</v>
      </c>
      <c r="D4860" s="9">
        <v>0</v>
      </c>
      <c r="E4860" s="8">
        <v>277</v>
      </c>
    </row>
    <row r="4861" s="3" customFormat="1" ht="18.75" spans="1:5">
      <c r="A4861" s="8" t="str">
        <f t="shared" si="85"/>
        <v>250023</v>
      </c>
      <c r="B4861" s="8" t="str">
        <f>"2561406011303"</f>
        <v>2561406011303</v>
      </c>
      <c r="C4861" s="8" t="s">
        <v>12</v>
      </c>
      <c r="D4861" s="9">
        <v>0</v>
      </c>
      <c r="E4861" s="8">
        <v>277</v>
      </c>
    </row>
    <row r="4862" s="3" customFormat="1" ht="18.75" spans="1:5">
      <c r="A4862" s="8" t="str">
        <f t="shared" si="85"/>
        <v>250023</v>
      </c>
      <c r="B4862" s="8" t="str">
        <f>"2561406011306"</f>
        <v>2561406011306</v>
      </c>
      <c r="C4862" s="8" t="s">
        <v>12</v>
      </c>
      <c r="D4862" s="9">
        <v>0</v>
      </c>
      <c r="E4862" s="8">
        <v>277</v>
      </c>
    </row>
    <row r="4863" s="3" customFormat="1" ht="18.75" spans="1:5">
      <c r="A4863" s="8" t="str">
        <f t="shared" si="85"/>
        <v>250023</v>
      </c>
      <c r="B4863" s="8" t="str">
        <f>"2561406011309"</f>
        <v>2561406011309</v>
      </c>
      <c r="C4863" s="8" t="s">
        <v>12</v>
      </c>
      <c r="D4863" s="9">
        <v>0</v>
      </c>
      <c r="E4863" s="8">
        <v>277</v>
      </c>
    </row>
    <row r="4864" s="3" customFormat="1" ht="18.75" spans="1:5">
      <c r="A4864" s="8" t="str">
        <f t="shared" si="85"/>
        <v>250023</v>
      </c>
      <c r="B4864" s="8" t="str">
        <f>"2561406011310"</f>
        <v>2561406011310</v>
      </c>
      <c r="C4864" s="8" t="s">
        <v>12</v>
      </c>
      <c r="D4864" s="9">
        <v>0</v>
      </c>
      <c r="E4864" s="8">
        <v>277</v>
      </c>
    </row>
    <row r="4865" s="3" customFormat="1" ht="18.75" spans="1:5">
      <c r="A4865" s="8" t="str">
        <f t="shared" si="85"/>
        <v>250023</v>
      </c>
      <c r="B4865" s="8" t="str">
        <f>"2561406011311"</f>
        <v>2561406011311</v>
      </c>
      <c r="C4865" s="8" t="s">
        <v>12</v>
      </c>
      <c r="D4865" s="9">
        <v>0</v>
      </c>
      <c r="E4865" s="8">
        <v>277</v>
      </c>
    </row>
    <row r="4866" s="3" customFormat="1" ht="18.75" spans="1:5">
      <c r="A4866" s="8" t="str">
        <f t="shared" si="85"/>
        <v>250023</v>
      </c>
      <c r="B4866" s="8" t="str">
        <f>"2561406011312"</f>
        <v>2561406011312</v>
      </c>
      <c r="C4866" s="8" t="s">
        <v>12</v>
      </c>
      <c r="D4866" s="9">
        <v>0</v>
      </c>
      <c r="E4866" s="8">
        <v>277</v>
      </c>
    </row>
    <row r="4867" s="3" customFormat="1" ht="18.75" spans="1:5">
      <c r="A4867" s="8" t="str">
        <f t="shared" si="85"/>
        <v>250023</v>
      </c>
      <c r="B4867" s="8" t="str">
        <f>"2561406011315"</f>
        <v>2561406011315</v>
      </c>
      <c r="C4867" s="8" t="s">
        <v>12</v>
      </c>
      <c r="D4867" s="9">
        <v>0</v>
      </c>
      <c r="E4867" s="8">
        <v>277</v>
      </c>
    </row>
    <row r="4868" s="3" customFormat="1" ht="18.75" spans="1:5">
      <c r="A4868" s="8" t="str">
        <f t="shared" si="85"/>
        <v>250023</v>
      </c>
      <c r="B4868" s="8" t="str">
        <f>"2561406011317"</f>
        <v>2561406011317</v>
      </c>
      <c r="C4868" s="8" t="s">
        <v>12</v>
      </c>
      <c r="D4868" s="9">
        <v>0</v>
      </c>
      <c r="E4868" s="8">
        <v>277</v>
      </c>
    </row>
    <row r="4869" s="3" customFormat="1" ht="18.75" spans="1:5">
      <c r="A4869" s="8" t="str">
        <f t="shared" si="85"/>
        <v>250023</v>
      </c>
      <c r="B4869" s="8" t="str">
        <f>"2561406011323"</f>
        <v>2561406011323</v>
      </c>
      <c r="C4869" s="8" t="s">
        <v>12</v>
      </c>
      <c r="D4869" s="9">
        <v>0</v>
      </c>
      <c r="E4869" s="8">
        <v>277</v>
      </c>
    </row>
    <row r="4870" s="3" customFormat="1" ht="18.75" spans="1:5">
      <c r="A4870" s="8" t="str">
        <f t="shared" si="85"/>
        <v>250023</v>
      </c>
      <c r="B4870" s="8" t="str">
        <f>"2561406011326"</f>
        <v>2561406011326</v>
      </c>
      <c r="C4870" s="8" t="s">
        <v>12</v>
      </c>
      <c r="D4870" s="9">
        <v>0</v>
      </c>
      <c r="E4870" s="8">
        <v>277</v>
      </c>
    </row>
    <row r="4871" s="3" customFormat="1" ht="18.75" spans="1:5">
      <c r="A4871" s="8" t="str">
        <f t="shared" si="85"/>
        <v>250023</v>
      </c>
      <c r="B4871" s="8" t="str">
        <f>"2561406011330"</f>
        <v>2561406011330</v>
      </c>
      <c r="C4871" s="8" t="s">
        <v>12</v>
      </c>
      <c r="D4871" s="9">
        <v>0</v>
      </c>
      <c r="E4871" s="8">
        <v>277</v>
      </c>
    </row>
    <row r="4872" s="3" customFormat="1" ht="18.75" spans="1:5">
      <c r="A4872" s="8" t="str">
        <f t="shared" si="85"/>
        <v>250023</v>
      </c>
      <c r="B4872" s="8" t="str">
        <f>"2561406011401"</f>
        <v>2561406011401</v>
      </c>
      <c r="C4872" s="8" t="s">
        <v>12</v>
      </c>
      <c r="D4872" s="9">
        <v>0</v>
      </c>
      <c r="E4872" s="8">
        <v>277</v>
      </c>
    </row>
    <row r="4873" s="3" customFormat="1" ht="18.75" spans="1:5">
      <c r="A4873" s="8" t="str">
        <f t="shared" si="85"/>
        <v>250023</v>
      </c>
      <c r="B4873" s="8" t="str">
        <f>"2561406011408"</f>
        <v>2561406011408</v>
      </c>
      <c r="C4873" s="8" t="s">
        <v>12</v>
      </c>
      <c r="D4873" s="9">
        <v>0</v>
      </c>
      <c r="E4873" s="8">
        <v>277</v>
      </c>
    </row>
    <row r="4874" s="3" customFormat="1" ht="18.75" spans="1:5">
      <c r="A4874" s="8" t="str">
        <f t="shared" si="85"/>
        <v>250023</v>
      </c>
      <c r="B4874" s="8" t="str">
        <f>"2561406011413"</f>
        <v>2561406011413</v>
      </c>
      <c r="C4874" s="8" t="s">
        <v>12</v>
      </c>
      <c r="D4874" s="9">
        <v>0</v>
      </c>
      <c r="E4874" s="8">
        <v>277</v>
      </c>
    </row>
    <row r="4875" s="3" customFormat="1" ht="18.75" spans="1:5">
      <c r="A4875" s="8" t="str">
        <f t="shared" si="85"/>
        <v>250023</v>
      </c>
      <c r="B4875" s="8" t="str">
        <f>"2561406011415"</f>
        <v>2561406011415</v>
      </c>
      <c r="C4875" s="8" t="s">
        <v>12</v>
      </c>
      <c r="D4875" s="9">
        <v>0</v>
      </c>
      <c r="E4875" s="8">
        <v>277</v>
      </c>
    </row>
    <row r="4876" s="3" customFormat="1" ht="18.75" spans="1:5">
      <c r="A4876" s="8" t="str">
        <f t="shared" si="85"/>
        <v>250023</v>
      </c>
      <c r="B4876" s="8" t="str">
        <f>"2561406011417"</f>
        <v>2561406011417</v>
      </c>
      <c r="C4876" s="8" t="s">
        <v>12</v>
      </c>
      <c r="D4876" s="9">
        <v>0</v>
      </c>
      <c r="E4876" s="8">
        <v>277</v>
      </c>
    </row>
    <row r="4877" s="3" customFormat="1" ht="18.75" spans="1:5">
      <c r="A4877" s="8" t="str">
        <f t="shared" si="85"/>
        <v>250023</v>
      </c>
      <c r="B4877" s="8" t="str">
        <f>"2561406011423"</f>
        <v>2561406011423</v>
      </c>
      <c r="C4877" s="8" t="s">
        <v>12</v>
      </c>
      <c r="D4877" s="9">
        <v>0</v>
      </c>
      <c r="E4877" s="8">
        <v>277</v>
      </c>
    </row>
    <row r="4878" s="3" customFormat="1" ht="18.75" spans="1:5">
      <c r="A4878" s="8" t="str">
        <f t="shared" si="85"/>
        <v>250023</v>
      </c>
      <c r="B4878" s="8" t="str">
        <f>"2561406011425"</f>
        <v>2561406011425</v>
      </c>
      <c r="C4878" s="8" t="s">
        <v>12</v>
      </c>
      <c r="D4878" s="9">
        <v>0</v>
      </c>
      <c r="E4878" s="8">
        <v>277</v>
      </c>
    </row>
    <row r="4879" s="3" customFormat="1" ht="18.75" spans="1:5">
      <c r="A4879" s="8" t="str">
        <f t="shared" si="85"/>
        <v>250023</v>
      </c>
      <c r="B4879" s="8" t="str">
        <f>"2561406011430"</f>
        <v>2561406011430</v>
      </c>
      <c r="C4879" s="8" t="s">
        <v>12</v>
      </c>
      <c r="D4879" s="9">
        <v>0</v>
      </c>
      <c r="E4879" s="8">
        <v>277</v>
      </c>
    </row>
    <row r="4880" s="3" customFormat="1" ht="18.75" spans="1:5">
      <c r="A4880" s="8" t="str">
        <f t="shared" si="85"/>
        <v>250023</v>
      </c>
      <c r="B4880" s="8" t="str">
        <f>"2561406011502"</f>
        <v>2561406011502</v>
      </c>
      <c r="C4880" s="8" t="s">
        <v>12</v>
      </c>
      <c r="D4880" s="9">
        <v>0</v>
      </c>
      <c r="E4880" s="8">
        <v>277</v>
      </c>
    </row>
    <row r="4881" s="3" customFormat="1" ht="18.75" spans="1:5">
      <c r="A4881" s="8" t="str">
        <f t="shared" si="85"/>
        <v>250023</v>
      </c>
      <c r="B4881" s="8" t="str">
        <f>"2561406011503"</f>
        <v>2561406011503</v>
      </c>
      <c r="C4881" s="8" t="s">
        <v>12</v>
      </c>
      <c r="D4881" s="9">
        <v>0</v>
      </c>
      <c r="E4881" s="8">
        <v>277</v>
      </c>
    </row>
    <row r="4882" s="3" customFormat="1" ht="18.75" spans="1:5">
      <c r="A4882" s="8" t="str">
        <f t="shared" si="85"/>
        <v>250023</v>
      </c>
      <c r="B4882" s="8" t="str">
        <f>"2561406011505"</f>
        <v>2561406011505</v>
      </c>
      <c r="C4882" s="8" t="s">
        <v>12</v>
      </c>
      <c r="D4882" s="9">
        <v>0</v>
      </c>
      <c r="E4882" s="8">
        <v>277</v>
      </c>
    </row>
    <row r="4883" s="3" customFormat="1" ht="18.75" spans="1:5">
      <c r="A4883" s="8" t="str">
        <f t="shared" si="85"/>
        <v>250023</v>
      </c>
      <c r="B4883" s="8" t="str">
        <f>"2561406011506"</f>
        <v>2561406011506</v>
      </c>
      <c r="C4883" s="8" t="s">
        <v>12</v>
      </c>
      <c r="D4883" s="9">
        <v>0</v>
      </c>
      <c r="E4883" s="8">
        <v>277</v>
      </c>
    </row>
    <row r="4884" s="3" customFormat="1" ht="18.75" spans="1:5">
      <c r="A4884" s="8" t="str">
        <f t="shared" si="85"/>
        <v>250023</v>
      </c>
      <c r="B4884" s="8" t="str">
        <f>"2561406011507"</f>
        <v>2561406011507</v>
      </c>
      <c r="C4884" s="8" t="s">
        <v>12</v>
      </c>
      <c r="D4884" s="9">
        <v>0</v>
      </c>
      <c r="E4884" s="8">
        <v>277</v>
      </c>
    </row>
    <row r="4885" s="3" customFormat="1" ht="18.75" spans="1:5">
      <c r="A4885" s="8" t="str">
        <f t="shared" si="85"/>
        <v>250023</v>
      </c>
      <c r="B4885" s="8" t="str">
        <f>"2561406011509"</f>
        <v>2561406011509</v>
      </c>
      <c r="C4885" s="8" t="s">
        <v>12</v>
      </c>
      <c r="D4885" s="9">
        <v>0</v>
      </c>
      <c r="E4885" s="8">
        <v>277</v>
      </c>
    </row>
    <row r="4886" s="3" customFormat="1" ht="18.75" spans="1:5">
      <c r="A4886" s="8" t="str">
        <f t="shared" si="85"/>
        <v>250023</v>
      </c>
      <c r="B4886" s="8" t="str">
        <f>"2561406011511"</f>
        <v>2561406011511</v>
      </c>
      <c r="C4886" s="8" t="s">
        <v>12</v>
      </c>
      <c r="D4886" s="9">
        <v>0</v>
      </c>
      <c r="E4886" s="8">
        <v>277</v>
      </c>
    </row>
    <row r="4887" s="3" customFormat="1" ht="18.75" spans="1:5">
      <c r="A4887" s="8" t="str">
        <f t="shared" si="85"/>
        <v>250023</v>
      </c>
      <c r="B4887" s="8" t="str">
        <f>"2561406011512"</f>
        <v>2561406011512</v>
      </c>
      <c r="C4887" s="8" t="s">
        <v>12</v>
      </c>
      <c r="D4887" s="9">
        <v>0</v>
      </c>
      <c r="E4887" s="8">
        <v>277</v>
      </c>
    </row>
    <row r="4888" s="3" customFormat="1" ht="18.75" spans="1:5">
      <c r="A4888" s="8" t="str">
        <f t="shared" si="85"/>
        <v>250023</v>
      </c>
      <c r="B4888" s="8" t="str">
        <f>"2561406011513"</f>
        <v>2561406011513</v>
      </c>
      <c r="C4888" s="8" t="s">
        <v>12</v>
      </c>
      <c r="D4888" s="9">
        <v>0</v>
      </c>
      <c r="E4888" s="8">
        <v>277</v>
      </c>
    </row>
    <row r="4889" s="3" customFormat="1" ht="18.75" spans="1:5">
      <c r="A4889" s="8" t="str">
        <f t="shared" ref="A4889:A4898" si="86">"250023"</f>
        <v>250023</v>
      </c>
      <c r="B4889" s="8" t="str">
        <f>"2561406011514"</f>
        <v>2561406011514</v>
      </c>
      <c r="C4889" s="8" t="s">
        <v>12</v>
      </c>
      <c r="D4889" s="9">
        <v>0</v>
      </c>
      <c r="E4889" s="8">
        <v>277</v>
      </c>
    </row>
    <row r="4890" s="3" customFormat="1" ht="18.75" spans="1:5">
      <c r="A4890" s="8" t="str">
        <f t="shared" si="86"/>
        <v>250023</v>
      </c>
      <c r="B4890" s="8" t="str">
        <f>"2561406011521"</f>
        <v>2561406011521</v>
      </c>
      <c r="C4890" s="8" t="s">
        <v>12</v>
      </c>
      <c r="D4890" s="9">
        <v>0</v>
      </c>
      <c r="E4890" s="8">
        <v>277</v>
      </c>
    </row>
    <row r="4891" s="3" customFormat="1" ht="18.75" spans="1:5">
      <c r="A4891" s="8" t="str">
        <f t="shared" si="86"/>
        <v>250023</v>
      </c>
      <c r="B4891" s="8" t="str">
        <f>"2561406011522"</f>
        <v>2561406011522</v>
      </c>
      <c r="C4891" s="8" t="s">
        <v>12</v>
      </c>
      <c r="D4891" s="9">
        <v>0</v>
      </c>
      <c r="E4891" s="8">
        <v>277</v>
      </c>
    </row>
    <row r="4892" s="3" customFormat="1" ht="18.75" spans="1:5">
      <c r="A4892" s="8" t="str">
        <f t="shared" si="86"/>
        <v>250023</v>
      </c>
      <c r="B4892" s="8" t="str">
        <f>"2561406011524"</f>
        <v>2561406011524</v>
      </c>
      <c r="C4892" s="8" t="s">
        <v>12</v>
      </c>
      <c r="D4892" s="9">
        <v>0</v>
      </c>
      <c r="E4892" s="8">
        <v>277</v>
      </c>
    </row>
    <row r="4893" s="3" customFormat="1" ht="18.75" spans="1:5">
      <c r="A4893" s="8" t="str">
        <f t="shared" si="86"/>
        <v>250023</v>
      </c>
      <c r="B4893" s="8" t="str">
        <f>"2561406011527"</f>
        <v>2561406011527</v>
      </c>
      <c r="C4893" s="8" t="s">
        <v>12</v>
      </c>
      <c r="D4893" s="9">
        <v>0</v>
      </c>
      <c r="E4893" s="8">
        <v>277</v>
      </c>
    </row>
    <row r="4894" s="3" customFormat="1" ht="18.75" spans="1:5">
      <c r="A4894" s="8" t="str">
        <f t="shared" si="86"/>
        <v>250023</v>
      </c>
      <c r="B4894" s="8" t="str">
        <f>"2561406011529"</f>
        <v>2561406011529</v>
      </c>
      <c r="C4894" s="8" t="s">
        <v>12</v>
      </c>
      <c r="D4894" s="9">
        <v>0</v>
      </c>
      <c r="E4894" s="8">
        <v>277</v>
      </c>
    </row>
    <row r="4895" s="3" customFormat="1" ht="18.75" spans="1:5">
      <c r="A4895" s="8" t="str">
        <f t="shared" si="86"/>
        <v>250023</v>
      </c>
      <c r="B4895" s="8" t="str">
        <f>"2561406011601"</f>
        <v>2561406011601</v>
      </c>
      <c r="C4895" s="8" t="s">
        <v>12</v>
      </c>
      <c r="D4895" s="9">
        <v>0</v>
      </c>
      <c r="E4895" s="8">
        <v>277</v>
      </c>
    </row>
    <row r="4896" s="3" customFormat="1" ht="18.75" spans="1:5">
      <c r="A4896" s="8" t="str">
        <f t="shared" si="86"/>
        <v>250023</v>
      </c>
      <c r="B4896" s="8" t="str">
        <f>"2561406011602"</f>
        <v>2561406011602</v>
      </c>
      <c r="C4896" s="8" t="s">
        <v>12</v>
      </c>
      <c r="D4896" s="9">
        <v>0</v>
      </c>
      <c r="E4896" s="8">
        <v>277</v>
      </c>
    </row>
    <row r="4897" s="3" customFormat="1" ht="18.75" spans="1:5">
      <c r="A4897" s="8" t="str">
        <f t="shared" si="86"/>
        <v>250023</v>
      </c>
      <c r="B4897" s="8" t="str">
        <f>"2561406011606"</f>
        <v>2561406011606</v>
      </c>
      <c r="C4897" s="8" t="s">
        <v>12</v>
      </c>
      <c r="D4897" s="9">
        <v>0</v>
      </c>
      <c r="E4897" s="8">
        <v>277</v>
      </c>
    </row>
    <row r="4898" s="3" customFormat="1" ht="18.75" spans="1:5">
      <c r="A4898" s="8" t="str">
        <f t="shared" si="86"/>
        <v>250023</v>
      </c>
      <c r="B4898" s="8" t="str">
        <f>"2561406011607"</f>
        <v>2561406011607</v>
      </c>
      <c r="C4898" s="8" t="s">
        <v>12</v>
      </c>
      <c r="D4898" s="9">
        <v>0</v>
      </c>
      <c r="E4898" s="8">
        <v>277</v>
      </c>
    </row>
    <row r="4899" s="3" customFormat="1" ht="18.75" spans="1:5">
      <c r="A4899" s="8" t="str">
        <f t="shared" ref="A4899:A4962" si="87">"250024"</f>
        <v>250024</v>
      </c>
      <c r="B4899" s="8" t="str">
        <f>"2561406012310"</f>
        <v>2561406012310</v>
      </c>
      <c r="C4899" s="8" t="s">
        <v>12</v>
      </c>
      <c r="D4899" s="9">
        <v>72.65</v>
      </c>
      <c r="E4899" s="8">
        <v>1</v>
      </c>
    </row>
    <row r="4900" s="3" customFormat="1" ht="18.75" spans="1:5">
      <c r="A4900" s="8" t="str">
        <f t="shared" si="87"/>
        <v>250024</v>
      </c>
      <c r="B4900" s="8" t="str">
        <f>"2561406012515"</f>
        <v>2561406012515</v>
      </c>
      <c r="C4900" s="8" t="s">
        <v>12</v>
      </c>
      <c r="D4900" s="9">
        <v>72.44</v>
      </c>
      <c r="E4900" s="8">
        <v>2</v>
      </c>
    </row>
    <row r="4901" s="3" customFormat="1" ht="18.75" spans="1:5">
      <c r="A4901" s="8" t="str">
        <f t="shared" si="87"/>
        <v>250024</v>
      </c>
      <c r="B4901" s="8" t="str">
        <f>"2561406011828"</f>
        <v>2561406011828</v>
      </c>
      <c r="C4901" s="8" t="s">
        <v>12</v>
      </c>
      <c r="D4901" s="9">
        <v>69.26</v>
      </c>
      <c r="E4901" s="8">
        <v>3</v>
      </c>
    </row>
    <row r="4902" s="3" customFormat="1" ht="18.75" spans="1:5">
      <c r="A4902" s="8" t="str">
        <f t="shared" si="87"/>
        <v>250024</v>
      </c>
      <c r="B4902" s="8" t="str">
        <f>"2561406012312"</f>
        <v>2561406012312</v>
      </c>
      <c r="C4902" s="8" t="s">
        <v>12</v>
      </c>
      <c r="D4902" s="9">
        <v>68.25</v>
      </c>
      <c r="E4902" s="8">
        <v>4</v>
      </c>
    </row>
    <row r="4903" s="3" customFormat="1" ht="18.75" spans="1:5">
      <c r="A4903" s="8" t="str">
        <f t="shared" si="87"/>
        <v>250024</v>
      </c>
      <c r="B4903" s="8" t="str">
        <f>"2561406012210"</f>
        <v>2561406012210</v>
      </c>
      <c r="C4903" s="8" t="s">
        <v>12</v>
      </c>
      <c r="D4903" s="9">
        <v>65.8</v>
      </c>
      <c r="E4903" s="8">
        <v>5</v>
      </c>
    </row>
    <row r="4904" s="3" customFormat="1" ht="18.75" spans="1:5">
      <c r="A4904" s="8" t="str">
        <f t="shared" si="87"/>
        <v>250024</v>
      </c>
      <c r="B4904" s="8" t="str">
        <f>"2561406012325"</f>
        <v>2561406012325</v>
      </c>
      <c r="C4904" s="8" t="s">
        <v>12</v>
      </c>
      <c r="D4904" s="9">
        <v>65.5</v>
      </c>
      <c r="E4904" s="8">
        <v>6</v>
      </c>
    </row>
    <row r="4905" s="3" customFormat="1" ht="18.75" spans="1:5">
      <c r="A4905" s="8" t="str">
        <f t="shared" si="87"/>
        <v>250024</v>
      </c>
      <c r="B4905" s="8" t="str">
        <f>"2561406011907"</f>
        <v>2561406011907</v>
      </c>
      <c r="C4905" s="8" t="s">
        <v>12</v>
      </c>
      <c r="D4905" s="9">
        <v>65.31</v>
      </c>
      <c r="E4905" s="8">
        <v>7</v>
      </c>
    </row>
    <row r="4906" s="3" customFormat="1" ht="18.75" spans="1:5">
      <c r="A4906" s="8" t="str">
        <f t="shared" si="87"/>
        <v>250024</v>
      </c>
      <c r="B4906" s="8" t="str">
        <f>"2561406012007"</f>
        <v>2561406012007</v>
      </c>
      <c r="C4906" s="8" t="s">
        <v>12</v>
      </c>
      <c r="D4906" s="9">
        <v>65.28</v>
      </c>
      <c r="E4906" s="8">
        <v>8</v>
      </c>
    </row>
    <row r="4907" s="3" customFormat="1" ht="18.75" spans="1:5">
      <c r="A4907" s="8" t="str">
        <f t="shared" si="87"/>
        <v>250024</v>
      </c>
      <c r="B4907" s="8" t="str">
        <f>"2561406011823"</f>
        <v>2561406011823</v>
      </c>
      <c r="C4907" s="8" t="s">
        <v>12</v>
      </c>
      <c r="D4907" s="9">
        <v>64.69</v>
      </c>
      <c r="E4907" s="8">
        <v>9</v>
      </c>
    </row>
    <row r="4908" s="3" customFormat="1" ht="18.75" spans="1:5">
      <c r="A4908" s="8" t="str">
        <f t="shared" si="87"/>
        <v>250024</v>
      </c>
      <c r="B4908" s="8" t="str">
        <f>"2561406012529"</f>
        <v>2561406012529</v>
      </c>
      <c r="C4908" s="8" t="s">
        <v>12</v>
      </c>
      <c r="D4908" s="9">
        <v>64.3</v>
      </c>
      <c r="E4908" s="8">
        <v>10</v>
      </c>
    </row>
    <row r="4909" s="3" customFormat="1" ht="18.75" spans="1:5">
      <c r="A4909" s="8" t="str">
        <f t="shared" si="87"/>
        <v>250024</v>
      </c>
      <c r="B4909" s="8" t="str">
        <f>"2561406012401"</f>
        <v>2561406012401</v>
      </c>
      <c r="C4909" s="8" t="s">
        <v>12</v>
      </c>
      <c r="D4909" s="9">
        <v>64.24</v>
      </c>
      <c r="E4909" s="8">
        <v>11</v>
      </c>
    </row>
    <row r="4910" s="3" customFormat="1" ht="18.75" spans="1:5">
      <c r="A4910" s="8" t="str">
        <f t="shared" si="87"/>
        <v>250024</v>
      </c>
      <c r="B4910" s="8" t="str">
        <f>"2561406011921"</f>
        <v>2561406011921</v>
      </c>
      <c r="C4910" s="8" t="s">
        <v>12</v>
      </c>
      <c r="D4910" s="9">
        <v>63.92</v>
      </c>
      <c r="E4910" s="8">
        <v>12</v>
      </c>
    </row>
    <row r="4911" s="3" customFormat="1" ht="18.75" spans="1:5">
      <c r="A4911" s="8" t="str">
        <f t="shared" si="87"/>
        <v>250024</v>
      </c>
      <c r="B4911" s="8" t="str">
        <f>"2561406012518"</f>
        <v>2561406012518</v>
      </c>
      <c r="C4911" s="8" t="s">
        <v>12</v>
      </c>
      <c r="D4911" s="9">
        <v>63.92</v>
      </c>
      <c r="E4911" s="8">
        <v>12</v>
      </c>
    </row>
    <row r="4912" s="3" customFormat="1" ht="18.75" spans="1:5">
      <c r="A4912" s="8" t="str">
        <f t="shared" si="87"/>
        <v>250024</v>
      </c>
      <c r="B4912" s="8" t="str">
        <f>"2561406012323"</f>
        <v>2561406012323</v>
      </c>
      <c r="C4912" s="8" t="s">
        <v>12</v>
      </c>
      <c r="D4912" s="9">
        <v>63.88</v>
      </c>
      <c r="E4912" s="8">
        <v>14</v>
      </c>
    </row>
    <row r="4913" s="3" customFormat="1" ht="18.75" spans="1:5">
      <c r="A4913" s="8" t="str">
        <f t="shared" si="87"/>
        <v>250024</v>
      </c>
      <c r="B4913" s="8" t="str">
        <f>"2561406011816"</f>
        <v>2561406011816</v>
      </c>
      <c r="C4913" s="8" t="s">
        <v>12</v>
      </c>
      <c r="D4913" s="9">
        <v>63.83</v>
      </c>
      <c r="E4913" s="8">
        <v>15</v>
      </c>
    </row>
    <row r="4914" s="3" customFormat="1" ht="18.75" spans="1:5">
      <c r="A4914" s="8" t="str">
        <f t="shared" si="87"/>
        <v>250024</v>
      </c>
      <c r="B4914" s="8" t="str">
        <f>"2561406012404"</f>
        <v>2561406012404</v>
      </c>
      <c r="C4914" s="8" t="s">
        <v>12</v>
      </c>
      <c r="D4914" s="9">
        <v>63.81</v>
      </c>
      <c r="E4914" s="8">
        <v>16</v>
      </c>
    </row>
    <row r="4915" s="3" customFormat="1" ht="18.75" spans="1:5">
      <c r="A4915" s="8" t="str">
        <f t="shared" si="87"/>
        <v>250024</v>
      </c>
      <c r="B4915" s="8" t="str">
        <f>"2561406011729"</f>
        <v>2561406011729</v>
      </c>
      <c r="C4915" s="8" t="s">
        <v>12</v>
      </c>
      <c r="D4915" s="9">
        <v>63.74</v>
      </c>
      <c r="E4915" s="8">
        <v>17</v>
      </c>
    </row>
    <row r="4916" s="3" customFormat="1" ht="18.75" spans="1:5">
      <c r="A4916" s="8" t="str">
        <f t="shared" si="87"/>
        <v>250024</v>
      </c>
      <c r="B4916" s="8" t="str">
        <f>"2561406011925"</f>
        <v>2561406011925</v>
      </c>
      <c r="C4916" s="8" t="s">
        <v>12</v>
      </c>
      <c r="D4916" s="9">
        <v>63.31</v>
      </c>
      <c r="E4916" s="8">
        <v>18</v>
      </c>
    </row>
    <row r="4917" s="3" customFormat="1" ht="18.75" spans="1:5">
      <c r="A4917" s="8" t="str">
        <f t="shared" si="87"/>
        <v>250024</v>
      </c>
      <c r="B4917" s="8" t="str">
        <f>"2561406012314"</f>
        <v>2561406012314</v>
      </c>
      <c r="C4917" s="8" t="s">
        <v>12</v>
      </c>
      <c r="D4917" s="9">
        <v>63.31</v>
      </c>
      <c r="E4917" s="8">
        <v>18</v>
      </c>
    </row>
    <row r="4918" s="3" customFormat="1" ht="18.75" spans="1:5">
      <c r="A4918" s="8" t="str">
        <f t="shared" si="87"/>
        <v>250024</v>
      </c>
      <c r="B4918" s="8" t="str">
        <f>"2561406012409"</f>
        <v>2561406012409</v>
      </c>
      <c r="C4918" s="8" t="s">
        <v>12</v>
      </c>
      <c r="D4918" s="9">
        <v>62.71</v>
      </c>
      <c r="E4918" s="8">
        <v>20</v>
      </c>
    </row>
    <row r="4919" s="3" customFormat="1" ht="18.75" spans="1:5">
      <c r="A4919" s="8" t="str">
        <f t="shared" si="87"/>
        <v>250024</v>
      </c>
      <c r="B4919" s="8" t="str">
        <f>"2561406011803"</f>
        <v>2561406011803</v>
      </c>
      <c r="C4919" s="8" t="s">
        <v>12</v>
      </c>
      <c r="D4919" s="9">
        <v>62.29</v>
      </c>
      <c r="E4919" s="8">
        <v>21</v>
      </c>
    </row>
    <row r="4920" s="3" customFormat="1" ht="18.75" spans="1:5">
      <c r="A4920" s="8" t="str">
        <f t="shared" si="87"/>
        <v>250024</v>
      </c>
      <c r="B4920" s="8" t="str">
        <f>"2561406012504"</f>
        <v>2561406012504</v>
      </c>
      <c r="C4920" s="8" t="s">
        <v>12</v>
      </c>
      <c r="D4920" s="9">
        <v>62.25</v>
      </c>
      <c r="E4920" s="8">
        <v>22</v>
      </c>
    </row>
    <row r="4921" s="3" customFormat="1" ht="18.75" spans="1:5">
      <c r="A4921" s="8" t="str">
        <f t="shared" si="87"/>
        <v>250024</v>
      </c>
      <c r="B4921" s="8" t="str">
        <f>"2561406012020"</f>
        <v>2561406012020</v>
      </c>
      <c r="C4921" s="8" t="s">
        <v>12</v>
      </c>
      <c r="D4921" s="9">
        <v>62.18</v>
      </c>
      <c r="E4921" s="8">
        <v>23</v>
      </c>
    </row>
    <row r="4922" s="3" customFormat="1" ht="18.75" spans="1:5">
      <c r="A4922" s="8" t="str">
        <f t="shared" si="87"/>
        <v>250024</v>
      </c>
      <c r="B4922" s="8" t="str">
        <f>"2561406012103"</f>
        <v>2561406012103</v>
      </c>
      <c r="C4922" s="8" t="s">
        <v>12</v>
      </c>
      <c r="D4922" s="9">
        <v>62.18</v>
      </c>
      <c r="E4922" s="8">
        <v>23</v>
      </c>
    </row>
    <row r="4923" s="3" customFormat="1" ht="18.75" spans="1:5">
      <c r="A4923" s="8" t="str">
        <f t="shared" si="87"/>
        <v>250024</v>
      </c>
      <c r="B4923" s="8" t="str">
        <f>"2561406011704"</f>
        <v>2561406011704</v>
      </c>
      <c r="C4923" s="8" t="s">
        <v>12</v>
      </c>
      <c r="D4923" s="9">
        <v>62.11</v>
      </c>
      <c r="E4923" s="8">
        <v>25</v>
      </c>
    </row>
    <row r="4924" s="3" customFormat="1" ht="18.75" spans="1:5">
      <c r="A4924" s="8" t="str">
        <f t="shared" si="87"/>
        <v>250024</v>
      </c>
      <c r="B4924" s="8" t="str">
        <f>"2561406012202"</f>
        <v>2561406012202</v>
      </c>
      <c r="C4924" s="8" t="s">
        <v>12</v>
      </c>
      <c r="D4924" s="9">
        <v>62.11</v>
      </c>
      <c r="E4924" s="8">
        <v>25</v>
      </c>
    </row>
    <row r="4925" s="3" customFormat="1" ht="18.75" spans="1:5">
      <c r="A4925" s="8" t="str">
        <f t="shared" si="87"/>
        <v>250024</v>
      </c>
      <c r="B4925" s="8" t="str">
        <f>"2561406012413"</f>
        <v>2561406012413</v>
      </c>
      <c r="C4925" s="8" t="s">
        <v>12</v>
      </c>
      <c r="D4925" s="9">
        <v>61.99</v>
      </c>
      <c r="E4925" s="8">
        <v>27</v>
      </c>
    </row>
    <row r="4926" s="3" customFormat="1" ht="18.75" spans="1:5">
      <c r="A4926" s="8" t="str">
        <f t="shared" si="87"/>
        <v>250024</v>
      </c>
      <c r="B4926" s="8" t="str">
        <f>"2561406012109"</f>
        <v>2561406012109</v>
      </c>
      <c r="C4926" s="8" t="s">
        <v>12</v>
      </c>
      <c r="D4926" s="9">
        <v>61.87</v>
      </c>
      <c r="E4926" s="8">
        <v>28</v>
      </c>
    </row>
    <row r="4927" s="3" customFormat="1" ht="18.75" spans="1:5">
      <c r="A4927" s="8" t="str">
        <f t="shared" si="87"/>
        <v>250024</v>
      </c>
      <c r="B4927" s="8" t="str">
        <f>"2561406012201"</f>
        <v>2561406012201</v>
      </c>
      <c r="C4927" s="8" t="s">
        <v>12</v>
      </c>
      <c r="D4927" s="9">
        <v>61.75</v>
      </c>
      <c r="E4927" s="8">
        <v>29</v>
      </c>
    </row>
    <row r="4928" s="3" customFormat="1" ht="18.75" spans="1:5">
      <c r="A4928" s="8" t="str">
        <f t="shared" si="87"/>
        <v>250024</v>
      </c>
      <c r="B4928" s="8" t="str">
        <f>"2561406012522"</f>
        <v>2561406012522</v>
      </c>
      <c r="C4928" s="8" t="s">
        <v>12</v>
      </c>
      <c r="D4928" s="9">
        <v>61.39</v>
      </c>
      <c r="E4928" s="8">
        <v>30</v>
      </c>
    </row>
    <row r="4929" s="3" customFormat="1" ht="18.75" spans="1:5">
      <c r="A4929" s="8" t="str">
        <f t="shared" si="87"/>
        <v>250024</v>
      </c>
      <c r="B4929" s="8" t="str">
        <f>"2561406011814"</f>
        <v>2561406011814</v>
      </c>
      <c r="C4929" s="8" t="s">
        <v>12</v>
      </c>
      <c r="D4929" s="9">
        <v>60.97</v>
      </c>
      <c r="E4929" s="8">
        <v>31</v>
      </c>
    </row>
    <row r="4930" s="3" customFormat="1" ht="18.75" spans="1:5">
      <c r="A4930" s="8" t="str">
        <f t="shared" si="87"/>
        <v>250024</v>
      </c>
      <c r="B4930" s="8" t="str">
        <f>"2561406011716"</f>
        <v>2561406011716</v>
      </c>
      <c r="C4930" s="8" t="s">
        <v>12</v>
      </c>
      <c r="D4930" s="9">
        <v>60.58</v>
      </c>
      <c r="E4930" s="8">
        <v>32</v>
      </c>
    </row>
    <row r="4931" s="3" customFormat="1" ht="18.75" spans="1:5">
      <c r="A4931" s="8" t="str">
        <f t="shared" si="87"/>
        <v>250024</v>
      </c>
      <c r="B4931" s="8" t="str">
        <f>"2561406012016"</f>
        <v>2561406012016</v>
      </c>
      <c r="C4931" s="8" t="s">
        <v>12</v>
      </c>
      <c r="D4931" s="9">
        <v>60.45</v>
      </c>
      <c r="E4931" s="8">
        <v>33</v>
      </c>
    </row>
    <row r="4932" s="3" customFormat="1" ht="18.75" spans="1:5">
      <c r="A4932" s="8" t="str">
        <f t="shared" si="87"/>
        <v>250024</v>
      </c>
      <c r="B4932" s="8" t="str">
        <f>"2561406011818"</f>
        <v>2561406011818</v>
      </c>
      <c r="C4932" s="8" t="s">
        <v>12</v>
      </c>
      <c r="D4932" s="9">
        <v>60.43</v>
      </c>
      <c r="E4932" s="8">
        <v>34</v>
      </c>
    </row>
    <row r="4933" s="3" customFormat="1" ht="18.75" spans="1:5">
      <c r="A4933" s="8" t="str">
        <f t="shared" si="87"/>
        <v>250024</v>
      </c>
      <c r="B4933" s="8" t="str">
        <f>"2561406012024"</f>
        <v>2561406012024</v>
      </c>
      <c r="C4933" s="8" t="s">
        <v>12</v>
      </c>
      <c r="D4933" s="9">
        <v>60.18</v>
      </c>
      <c r="E4933" s="8">
        <v>35</v>
      </c>
    </row>
    <row r="4934" s="3" customFormat="1" ht="18.75" spans="1:5">
      <c r="A4934" s="8" t="str">
        <f t="shared" si="87"/>
        <v>250024</v>
      </c>
      <c r="B4934" s="8" t="str">
        <f>"2561406011926"</f>
        <v>2561406011926</v>
      </c>
      <c r="C4934" s="8" t="s">
        <v>12</v>
      </c>
      <c r="D4934" s="9">
        <v>60.09</v>
      </c>
      <c r="E4934" s="8">
        <v>36</v>
      </c>
    </row>
    <row r="4935" s="3" customFormat="1" ht="18.75" spans="1:5">
      <c r="A4935" s="8" t="str">
        <f t="shared" si="87"/>
        <v>250024</v>
      </c>
      <c r="B4935" s="8" t="str">
        <f>"2561406011802"</f>
        <v>2561406011802</v>
      </c>
      <c r="C4935" s="8" t="s">
        <v>12</v>
      </c>
      <c r="D4935" s="9">
        <v>60</v>
      </c>
      <c r="E4935" s="8">
        <v>37</v>
      </c>
    </row>
    <row r="4936" s="3" customFormat="1" ht="18.75" spans="1:5">
      <c r="A4936" s="8" t="str">
        <f t="shared" si="87"/>
        <v>250024</v>
      </c>
      <c r="B4936" s="8" t="str">
        <f>"2561406012523"</f>
        <v>2561406012523</v>
      </c>
      <c r="C4936" s="8" t="s">
        <v>12</v>
      </c>
      <c r="D4936" s="9">
        <v>59.97</v>
      </c>
      <c r="E4936" s="8">
        <v>38</v>
      </c>
    </row>
    <row r="4937" s="3" customFormat="1" ht="18.75" spans="1:5">
      <c r="A4937" s="8" t="str">
        <f t="shared" si="87"/>
        <v>250024</v>
      </c>
      <c r="B4937" s="8" t="str">
        <f>"2561406011804"</f>
        <v>2561406011804</v>
      </c>
      <c r="C4937" s="8" t="s">
        <v>12</v>
      </c>
      <c r="D4937" s="9">
        <v>59.96</v>
      </c>
      <c r="E4937" s="8">
        <v>39</v>
      </c>
    </row>
    <row r="4938" s="3" customFormat="1" ht="18.75" spans="1:5">
      <c r="A4938" s="8" t="str">
        <f t="shared" si="87"/>
        <v>250024</v>
      </c>
      <c r="B4938" s="8" t="str">
        <f>"2561406012113"</f>
        <v>2561406012113</v>
      </c>
      <c r="C4938" s="8" t="s">
        <v>12</v>
      </c>
      <c r="D4938" s="9">
        <v>59.79</v>
      </c>
      <c r="E4938" s="8">
        <v>40</v>
      </c>
    </row>
    <row r="4939" s="3" customFormat="1" ht="18.75" spans="1:5">
      <c r="A4939" s="8" t="str">
        <f t="shared" si="87"/>
        <v>250024</v>
      </c>
      <c r="B4939" s="8" t="str">
        <f>"2561406012002"</f>
        <v>2561406012002</v>
      </c>
      <c r="C4939" s="8" t="s">
        <v>12</v>
      </c>
      <c r="D4939" s="9">
        <v>59.67</v>
      </c>
      <c r="E4939" s="8">
        <v>41</v>
      </c>
    </row>
    <row r="4940" s="3" customFormat="1" ht="18.75" spans="1:5">
      <c r="A4940" s="8" t="str">
        <f t="shared" si="87"/>
        <v>250024</v>
      </c>
      <c r="B4940" s="8" t="str">
        <f>"2561406011627"</f>
        <v>2561406011627</v>
      </c>
      <c r="C4940" s="8" t="s">
        <v>12</v>
      </c>
      <c r="D4940" s="9">
        <v>59.44</v>
      </c>
      <c r="E4940" s="8">
        <v>42</v>
      </c>
    </row>
    <row r="4941" s="3" customFormat="1" ht="18.75" spans="1:5">
      <c r="A4941" s="8" t="str">
        <f t="shared" si="87"/>
        <v>250024</v>
      </c>
      <c r="B4941" s="8" t="str">
        <f>"2561406011808"</f>
        <v>2561406011808</v>
      </c>
      <c r="C4941" s="8" t="s">
        <v>12</v>
      </c>
      <c r="D4941" s="9">
        <v>59.41</v>
      </c>
      <c r="E4941" s="8">
        <v>43</v>
      </c>
    </row>
    <row r="4942" s="3" customFormat="1" ht="18.75" spans="1:5">
      <c r="A4942" s="8" t="str">
        <f t="shared" si="87"/>
        <v>250024</v>
      </c>
      <c r="B4942" s="8" t="str">
        <f>"2561406012003"</f>
        <v>2561406012003</v>
      </c>
      <c r="C4942" s="8" t="s">
        <v>12</v>
      </c>
      <c r="D4942" s="9">
        <v>59.33</v>
      </c>
      <c r="E4942" s="8">
        <v>44</v>
      </c>
    </row>
    <row r="4943" s="3" customFormat="1" ht="18.75" spans="1:5">
      <c r="A4943" s="8" t="str">
        <f t="shared" si="87"/>
        <v>250024</v>
      </c>
      <c r="B4943" s="8" t="str">
        <f>"2561406012316"</f>
        <v>2561406012316</v>
      </c>
      <c r="C4943" s="8" t="s">
        <v>12</v>
      </c>
      <c r="D4943" s="9">
        <v>59.17</v>
      </c>
      <c r="E4943" s="8">
        <v>45</v>
      </c>
    </row>
    <row r="4944" s="3" customFormat="1" ht="18.75" spans="1:5">
      <c r="A4944" s="8" t="str">
        <f t="shared" si="87"/>
        <v>250024</v>
      </c>
      <c r="B4944" s="8" t="str">
        <f>"2561406011708"</f>
        <v>2561406011708</v>
      </c>
      <c r="C4944" s="8" t="s">
        <v>12</v>
      </c>
      <c r="D4944" s="9">
        <v>59.12</v>
      </c>
      <c r="E4944" s="8">
        <v>46</v>
      </c>
    </row>
    <row r="4945" s="3" customFormat="1" ht="18.75" spans="1:5">
      <c r="A4945" s="8" t="str">
        <f t="shared" si="87"/>
        <v>250024</v>
      </c>
      <c r="B4945" s="8" t="str">
        <f>"2561406012324"</f>
        <v>2561406012324</v>
      </c>
      <c r="C4945" s="8" t="s">
        <v>12</v>
      </c>
      <c r="D4945" s="9">
        <v>58.8</v>
      </c>
      <c r="E4945" s="8">
        <v>47</v>
      </c>
    </row>
    <row r="4946" s="3" customFormat="1" ht="18.75" spans="1:5">
      <c r="A4946" s="8" t="str">
        <f t="shared" si="87"/>
        <v>250024</v>
      </c>
      <c r="B4946" s="8" t="str">
        <f>"2561406011616"</f>
        <v>2561406011616</v>
      </c>
      <c r="C4946" s="8" t="s">
        <v>12</v>
      </c>
      <c r="D4946" s="9">
        <v>58.67</v>
      </c>
      <c r="E4946" s="8">
        <v>48</v>
      </c>
    </row>
    <row r="4947" s="3" customFormat="1" ht="18.75" spans="1:5">
      <c r="A4947" s="8" t="str">
        <f t="shared" si="87"/>
        <v>250024</v>
      </c>
      <c r="B4947" s="8" t="str">
        <f>"2561406011819"</f>
        <v>2561406011819</v>
      </c>
      <c r="C4947" s="8" t="s">
        <v>12</v>
      </c>
      <c r="D4947" s="9">
        <v>58.33</v>
      </c>
      <c r="E4947" s="8">
        <v>49</v>
      </c>
    </row>
    <row r="4948" s="3" customFormat="1" ht="18.75" spans="1:5">
      <c r="A4948" s="8" t="str">
        <f t="shared" si="87"/>
        <v>250024</v>
      </c>
      <c r="B4948" s="8" t="str">
        <f>"2561406012405"</f>
        <v>2561406012405</v>
      </c>
      <c r="C4948" s="8" t="s">
        <v>12</v>
      </c>
      <c r="D4948" s="9">
        <v>58.31</v>
      </c>
      <c r="E4948" s="8">
        <v>50</v>
      </c>
    </row>
    <row r="4949" s="3" customFormat="1" ht="18.75" spans="1:5">
      <c r="A4949" s="8" t="str">
        <f t="shared" si="87"/>
        <v>250024</v>
      </c>
      <c r="B4949" s="8" t="str">
        <f>"2561406012430"</f>
        <v>2561406012430</v>
      </c>
      <c r="C4949" s="8" t="s">
        <v>12</v>
      </c>
      <c r="D4949" s="9">
        <v>58.12</v>
      </c>
      <c r="E4949" s="8">
        <v>51</v>
      </c>
    </row>
    <row r="4950" s="3" customFormat="1" ht="18.75" spans="1:5">
      <c r="A4950" s="8" t="str">
        <f t="shared" si="87"/>
        <v>250024</v>
      </c>
      <c r="B4950" s="8" t="str">
        <f>"2561406011703"</f>
        <v>2561406011703</v>
      </c>
      <c r="C4950" s="8" t="s">
        <v>12</v>
      </c>
      <c r="D4950" s="9">
        <v>57.97</v>
      </c>
      <c r="E4950" s="8">
        <v>52</v>
      </c>
    </row>
    <row r="4951" s="3" customFormat="1" ht="18.75" spans="1:5">
      <c r="A4951" s="8" t="str">
        <f t="shared" si="87"/>
        <v>250024</v>
      </c>
      <c r="B4951" s="8" t="str">
        <f>"2561406012424"</f>
        <v>2561406012424</v>
      </c>
      <c r="C4951" s="8" t="s">
        <v>12</v>
      </c>
      <c r="D4951" s="9">
        <v>57.63</v>
      </c>
      <c r="E4951" s="8">
        <v>53</v>
      </c>
    </row>
    <row r="4952" s="3" customFormat="1" ht="18.75" spans="1:5">
      <c r="A4952" s="8" t="str">
        <f t="shared" si="87"/>
        <v>250024</v>
      </c>
      <c r="B4952" s="8" t="str">
        <f>"2561406012418"</f>
        <v>2561406012418</v>
      </c>
      <c r="C4952" s="8" t="s">
        <v>12</v>
      </c>
      <c r="D4952" s="9">
        <v>57.55</v>
      </c>
      <c r="E4952" s="8">
        <v>54</v>
      </c>
    </row>
    <row r="4953" s="3" customFormat="1" ht="18.75" spans="1:5">
      <c r="A4953" s="8" t="str">
        <f t="shared" si="87"/>
        <v>250024</v>
      </c>
      <c r="B4953" s="8" t="str">
        <f>"2561406012117"</f>
        <v>2561406012117</v>
      </c>
      <c r="C4953" s="8" t="s">
        <v>12</v>
      </c>
      <c r="D4953" s="9">
        <v>57.47</v>
      </c>
      <c r="E4953" s="8">
        <v>55</v>
      </c>
    </row>
    <row r="4954" s="3" customFormat="1" ht="18.75" spans="1:5">
      <c r="A4954" s="8" t="str">
        <f t="shared" si="87"/>
        <v>250024</v>
      </c>
      <c r="B4954" s="8" t="str">
        <f>"2561406011824"</f>
        <v>2561406011824</v>
      </c>
      <c r="C4954" s="8" t="s">
        <v>12</v>
      </c>
      <c r="D4954" s="9">
        <v>57.35</v>
      </c>
      <c r="E4954" s="8">
        <v>56</v>
      </c>
    </row>
    <row r="4955" s="3" customFormat="1" ht="18.75" spans="1:5">
      <c r="A4955" s="8" t="str">
        <f t="shared" si="87"/>
        <v>250024</v>
      </c>
      <c r="B4955" s="8" t="str">
        <f>"2561406011923"</f>
        <v>2561406011923</v>
      </c>
      <c r="C4955" s="8" t="s">
        <v>12</v>
      </c>
      <c r="D4955" s="9">
        <v>57.33</v>
      </c>
      <c r="E4955" s="8">
        <v>57</v>
      </c>
    </row>
    <row r="4956" s="3" customFormat="1" ht="18.75" spans="1:5">
      <c r="A4956" s="8" t="str">
        <f t="shared" si="87"/>
        <v>250024</v>
      </c>
      <c r="B4956" s="8" t="str">
        <f>"2561406011817"</f>
        <v>2561406011817</v>
      </c>
      <c r="C4956" s="8" t="s">
        <v>12</v>
      </c>
      <c r="D4956" s="9">
        <v>57.14</v>
      </c>
      <c r="E4956" s="8">
        <v>58</v>
      </c>
    </row>
    <row r="4957" s="3" customFormat="1" ht="18.75" spans="1:5">
      <c r="A4957" s="8" t="str">
        <f t="shared" si="87"/>
        <v>250024</v>
      </c>
      <c r="B4957" s="8" t="str">
        <f>"2561406011820"</f>
        <v>2561406011820</v>
      </c>
      <c r="C4957" s="8" t="s">
        <v>12</v>
      </c>
      <c r="D4957" s="9">
        <v>56.99</v>
      </c>
      <c r="E4957" s="8">
        <v>59</v>
      </c>
    </row>
    <row r="4958" s="3" customFormat="1" ht="18.75" spans="1:5">
      <c r="A4958" s="8" t="str">
        <f t="shared" si="87"/>
        <v>250024</v>
      </c>
      <c r="B4958" s="8" t="str">
        <f>"2561406011902"</f>
        <v>2561406011902</v>
      </c>
      <c r="C4958" s="8" t="s">
        <v>12</v>
      </c>
      <c r="D4958" s="9">
        <v>56.81</v>
      </c>
      <c r="E4958" s="8">
        <v>60</v>
      </c>
    </row>
    <row r="4959" s="3" customFormat="1" ht="18.75" spans="1:5">
      <c r="A4959" s="8" t="str">
        <f t="shared" si="87"/>
        <v>250024</v>
      </c>
      <c r="B4959" s="8" t="str">
        <f>"2561406012308"</f>
        <v>2561406012308</v>
      </c>
      <c r="C4959" s="8" t="s">
        <v>12</v>
      </c>
      <c r="D4959" s="9">
        <v>56.79</v>
      </c>
      <c r="E4959" s="8">
        <v>61</v>
      </c>
    </row>
    <row r="4960" s="3" customFormat="1" ht="18.75" spans="1:5">
      <c r="A4960" s="8" t="str">
        <f t="shared" si="87"/>
        <v>250024</v>
      </c>
      <c r="B4960" s="8" t="str">
        <f>"2561406012224"</f>
        <v>2561406012224</v>
      </c>
      <c r="C4960" s="8" t="s">
        <v>12</v>
      </c>
      <c r="D4960" s="9">
        <v>56.43</v>
      </c>
      <c r="E4960" s="8">
        <v>62</v>
      </c>
    </row>
    <row r="4961" s="3" customFormat="1" ht="18.75" spans="1:5">
      <c r="A4961" s="8" t="str">
        <f t="shared" si="87"/>
        <v>250024</v>
      </c>
      <c r="B4961" s="8" t="str">
        <f>"2561406012021"</f>
        <v>2561406012021</v>
      </c>
      <c r="C4961" s="8" t="s">
        <v>12</v>
      </c>
      <c r="D4961" s="9">
        <v>56.33</v>
      </c>
      <c r="E4961" s="8">
        <v>63</v>
      </c>
    </row>
    <row r="4962" s="3" customFormat="1" ht="18.75" spans="1:5">
      <c r="A4962" s="8" t="str">
        <f t="shared" si="87"/>
        <v>250024</v>
      </c>
      <c r="B4962" s="8" t="str">
        <f>"2561406012327"</f>
        <v>2561406012327</v>
      </c>
      <c r="C4962" s="8" t="s">
        <v>12</v>
      </c>
      <c r="D4962" s="9">
        <v>56.3</v>
      </c>
      <c r="E4962" s="8">
        <v>64</v>
      </c>
    </row>
    <row r="4963" s="3" customFormat="1" ht="18.75" spans="1:5">
      <c r="A4963" s="8" t="str">
        <f t="shared" ref="A4963:A5026" si="88">"250024"</f>
        <v>250024</v>
      </c>
      <c r="B4963" s="8" t="str">
        <f>"2561406011806"</f>
        <v>2561406011806</v>
      </c>
      <c r="C4963" s="8" t="s">
        <v>12</v>
      </c>
      <c r="D4963" s="9">
        <v>56.12</v>
      </c>
      <c r="E4963" s="8">
        <v>65</v>
      </c>
    </row>
    <row r="4964" s="3" customFormat="1" ht="18.75" spans="1:5">
      <c r="A4964" s="8" t="str">
        <f t="shared" si="88"/>
        <v>250024</v>
      </c>
      <c r="B4964" s="8" t="str">
        <f>"2561406011628"</f>
        <v>2561406011628</v>
      </c>
      <c r="C4964" s="8" t="s">
        <v>12</v>
      </c>
      <c r="D4964" s="9">
        <v>56.06</v>
      </c>
      <c r="E4964" s="8">
        <v>66</v>
      </c>
    </row>
    <row r="4965" s="3" customFormat="1" ht="18.75" spans="1:5">
      <c r="A4965" s="8" t="str">
        <f t="shared" si="88"/>
        <v>250024</v>
      </c>
      <c r="B4965" s="8" t="str">
        <f>"2561406012013"</f>
        <v>2561406012013</v>
      </c>
      <c r="C4965" s="8" t="s">
        <v>12</v>
      </c>
      <c r="D4965" s="9">
        <v>55.98</v>
      </c>
      <c r="E4965" s="8">
        <v>67</v>
      </c>
    </row>
    <row r="4966" s="3" customFormat="1" ht="18.75" spans="1:5">
      <c r="A4966" s="8" t="str">
        <f t="shared" si="88"/>
        <v>250024</v>
      </c>
      <c r="B4966" s="8" t="str">
        <f>"2561406012421"</f>
        <v>2561406012421</v>
      </c>
      <c r="C4966" s="8" t="s">
        <v>12</v>
      </c>
      <c r="D4966" s="9">
        <v>55.92</v>
      </c>
      <c r="E4966" s="8">
        <v>68</v>
      </c>
    </row>
    <row r="4967" s="3" customFormat="1" ht="18.75" spans="1:5">
      <c r="A4967" s="8" t="str">
        <f t="shared" si="88"/>
        <v>250024</v>
      </c>
      <c r="B4967" s="8" t="str">
        <f>"2561406011913"</f>
        <v>2561406011913</v>
      </c>
      <c r="C4967" s="8" t="s">
        <v>12</v>
      </c>
      <c r="D4967" s="9">
        <v>55.91</v>
      </c>
      <c r="E4967" s="8">
        <v>69</v>
      </c>
    </row>
    <row r="4968" s="3" customFormat="1" ht="18.75" spans="1:5">
      <c r="A4968" s="8" t="str">
        <f t="shared" si="88"/>
        <v>250024</v>
      </c>
      <c r="B4968" s="8" t="str">
        <f>"2561406012008"</f>
        <v>2561406012008</v>
      </c>
      <c r="C4968" s="8" t="s">
        <v>12</v>
      </c>
      <c r="D4968" s="9">
        <v>55.91</v>
      </c>
      <c r="E4968" s="8">
        <v>69</v>
      </c>
    </row>
    <row r="4969" s="3" customFormat="1" ht="18.75" spans="1:5">
      <c r="A4969" s="8" t="str">
        <f t="shared" si="88"/>
        <v>250024</v>
      </c>
      <c r="B4969" s="8" t="str">
        <f>"2561406012415"</f>
        <v>2561406012415</v>
      </c>
      <c r="C4969" s="8" t="s">
        <v>12</v>
      </c>
      <c r="D4969" s="9">
        <v>55.89</v>
      </c>
      <c r="E4969" s="8">
        <v>71</v>
      </c>
    </row>
    <row r="4970" s="3" customFormat="1" ht="18.75" spans="1:5">
      <c r="A4970" s="8" t="str">
        <f t="shared" si="88"/>
        <v>250024</v>
      </c>
      <c r="B4970" s="8" t="str">
        <f>"2561406012119"</f>
        <v>2561406012119</v>
      </c>
      <c r="C4970" s="8" t="s">
        <v>12</v>
      </c>
      <c r="D4970" s="9">
        <v>55.8</v>
      </c>
      <c r="E4970" s="8">
        <v>72</v>
      </c>
    </row>
    <row r="4971" s="3" customFormat="1" ht="18.75" spans="1:5">
      <c r="A4971" s="8" t="str">
        <f t="shared" si="88"/>
        <v>250024</v>
      </c>
      <c r="B4971" s="8" t="str">
        <f>"2561406011810"</f>
        <v>2561406011810</v>
      </c>
      <c r="C4971" s="8" t="s">
        <v>12</v>
      </c>
      <c r="D4971" s="9">
        <v>55.39</v>
      </c>
      <c r="E4971" s="8">
        <v>73</v>
      </c>
    </row>
    <row r="4972" s="3" customFormat="1" ht="18.75" spans="1:5">
      <c r="A4972" s="8" t="str">
        <f t="shared" si="88"/>
        <v>250024</v>
      </c>
      <c r="B4972" s="8" t="str">
        <f>"2561406011622"</f>
        <v>2561406011622</v>
      </c>
      <c r="C4972" s="8" t="s">
        <v>12</v>
      </c>
      <c r="D4972" s="9">
        <v>55.23</v>
      </c>
      <c r="E4972" s="8">
        <v>74</v>
      </c>
    </row>
    <row r="4973" s="3" customFormat="1" ht="18.75" spans="1:5">
      <c r="A4973" s="8" t="str">
        <f t="shared" si="88"/>
        <v>250024</v>
      </c>
      <c r="B4973" s="8" t="str">
        <f>"2561406011727"</f>
        <v>2561406011727</v>
      </c>
      <c r="C4973" s="8" t="s">
        <v>12</v>
      </c>
      <c r="D4973" s="9">
        <v>55.05</v>
      </c>
      <c r="E4973" s="8">
        <v>75</v>
      </c>
    </row>
    <row r="4974" s="3" customFormat="1" ht="18.75" spans="1:5">
      <c r="A4974" s="8" t="str">
        <f t="shared" si="88"/>
        <v>250024</v>
      </c>
      <c r="B4974" s="8" t="str">
        <f>"2561406012127"</f>
        <v>2561406012127</v>
      </c>
      <c r="C4974" s="8" t="s">
        <v>12</v>
      </c>
      <c r="D4974" s="9">
        <v>54.89</v>
      </c>
      <c r="E4974" s="8">
        <v>76</v>
      </c>
    </row>
    <row r="4975" s="3" customFormat="1" ht="18.75" spans="1:5">
      <c r="A4975" s="8" t="str">
        <f t="shared" si="88"/>
        <v>250024</v>
      </c>
      <c r="B4975" s="8" t="str">
        <f>"2561406011609"</f>
        <v>2561406011609</v>
      </c>
      <c r="C4975" s="8" t="s">
        <v>12</v>
      </c>
      <c r="D4975" s="9">
        <v>54.78</v>
      </c>
      <c r="E4975" s="8">
        <v>77</v>
      </c>
    </row>
    <row r="4976" s="3" customFormat="1" ht="18.75" spans="1:5">
      <c r="A4976" s="8" t="str">
        <f t="shared" si="88"/>
        <v>250024</v>
      </c>
      <c r="B4976" s="8" t="str">
        <f>"2561406011702"</f>
        <v>2561406011702</v>
      </c>
      <c r="C4976" s="8" t="s">
        <v>12</v>
      </c>
      <c r="D4976" s="9">
        <v>54.77</v>
      </c>
      <c r="E4976" s="8">
        <v>78</v>
      </c>
    </row>
    <row r="4977" s="3" customFormat="1" ht="18.75" spans="1:5">
      <c r="A4977" s="8" t="str">
        <f t="shared" si="88"/>
        <v>250024</v>
      </c>
      <c r="B4977" s="8" t="str">
        <f>"2561406012218"</f>
        <v>2561406012218</v>
      </c>
      <c r="C4977" s="8" t="s">
        <v>12</v>
      </c>
      <c r="D4977" s="9">
        <v>54.68</v>
      </c>
      <c r="E4977" s="8">
        <v>79</v>
      </c>
    </row>
    <row r="4978" s="3" customFormat="1" ht="18.75" spans="1:5">
      <c r="A4978" s="8" t="str">
        <f t="shared" si="88"/>
        <v>250024</v>
      </c>
      <c r="B4978" s="8" t="str">
        <f>"2561406012526"</f>
        <v>2561406012526</v>
      </c>
      <c r="C4978" s="8" t="s">
        <v>12</v>
      </c>
      <c r="D4978" s="9">
        <v>54.66</v>
      </c>
      <c r="E4978" s="8">
        <v>80</v>
      </c>
    </row>
    <row r="4979" s="3" customFormat="1" ht="18.75" spans="1:5">
      <c r="A4979" s="8" t="str">
        <f t="shared" si="88"/>
        <v>250024</v>
      </c>
      <c r="B4979" s="8" t="str">
        <f>"2561406012006"</f>
        <v>2561406012006</v>
      </c>
      <c r="C4979" s="8" t="s">
        <v>12</v>
      </c>
      <c r="D4979" s="9">
        <v>54.45</v>
      </c>
      <c r="E4979" s="8">
        <v>81</v>
      </c>
    </row>
    <row r="4980" s="3" customFormat="1" ht="18.75" spans="1:5">
      <c r="A4980" s="8" t="str">
        <f t="shared" si="88"/>
        <v>250024</v>
      </c>
      <c r="B4980" s="8" t="str">
        <f>"2561406012115"</f>
        <v>2561406012115</v>
      </c>
      <c r="C4980" s="8" t="s">
        <v>12</v>
      </c>
      <c r="D4980" s="9">
        <v>54.28</v>
      </c>
      <c r="E4980" s="8">
        <v>82</v>
      </c>
    </row>
    <row r="4981" s="3" customFormat="1" ht="18.75" spans="1:5">
      <c r="A4981" s="8" t="str">
        <f t="shared" si="88"/>
        <v>250024</v>
      </c>
      <c r="B4981" s="8" t="str">
        <f>"2561406012022"</f>
        <v>2561406012022</v>
      </c>
      <c r="C4981" s="8" t="s">
        <v>12</v>
      </c>
      <c r="D4981" s="9">
        <v>54.22</v>
      </c>
      <c r="E4981" s="8">
        <v>83</v>
      </c>
    </row>
    <row r="4982" s="3" customFormat="1" ht="18.75" spans="1:5">
      <c r="A4982" s="8" t="str">
        <f t="shared" si="88"/>
        <v>250024</v>
      </c>
      <c r="B4982" s="8" t="str">
        <f>"2561406012116"</f>
        <v>2561406012116</v>
      </c>
      <c r="C4982" s="8" t="s">
        <v>12</v>
      </c>
      <c r="D4982" s="9">
        <v>53.98</v>
      </c>
      <c r="E4982" s="8">
        <v>84</v>
      </c>
    </row>
    <row r="4983" s="3" customFormat="1" ht="18.75" spans="1:5">
      <c r="A4983" s="8" t="str">
        <f t="shared" si="88"/>
        <v>250024</v>
      </c>
      <c r="B4983" s="8" t="str">
        <f>"2561406012329"</f>
        <v>2561406012329</v>
      </c>
      <c r="C4983" s="8" t="s">
        <v>12</v>
      </c>
      <c r="D4983" s="9">
        <v>53.96</v>
      </c>
      <c r="E4983" s="8">
        <v>85</v>
      </c>
    </row>
    <row r="4984" s="3" customFormat="1" ht="18.75" spans="1:5">
      <c r="A4984" s="8" t="str">
        <f t="shared" si="88"/>
        <v>250024</v>
      </c>
      <c r="B4984" s="8" t="str">
        <f>"2561406011903"</f>
        <v>2561406011903</v>
      </c>
      <c r="C4984" s="8" t="s">
        <v>12</v>
      </c>
      <c r="D4984" s="9">
        <v>53.95</v>
      </c>
      <c r="E4984" s="8">
        <v>86</v>
      </c>
    </row>
    <row r="4985" s="3" customFormat="1" ht="18.75" spans="1:5">
      <c r="A4985" s="8" t="str">
        <f t="shared" si="88"/>
        <v>250024</v>
      </c>
      <c r="B4985" s="8" t="str">
        <f>"2561406011717"</f>
        <v>2561406011717</v>
      </c>
      <c r="C4985" s="8" t="s">
        <v>12</v>
      </c>
      <c r="D4985" s="9">
        <v>53.77</v>
      </c>
      <c r="E4985" s="8">
        <v>87</v>
      </c>
    </row>
    <row r="4986" s="3" customFormat="1" ht="18.75" spans="1:5">
      <c r="A4986" s="8" t="str">
        <f t="shared" si="88"/>
        <v>250024</v>
      </c>
      <c r="B4986" s="8" t="str">
        <f>"2561406011821"</f>
        <v>2561406011821</v>
      </c>
      <c r="C4986" s="8" t="s">
        <v>12</v>
      </c>
      <c r="D4986" s="9">
        <v>52.97</v>
      </c>
      <c r="E4986" s="8">
        <v>88</v>
      </c>
    </row>
    <row r="4987" s="3" customFormat="1" ht="18.75" spans="1:5">
      <c r="A4987" s="8" t="str">
        <f t="shared" si="88"/>
        <v>250024</v>
      </c>
      <c r="B4987" s="8" t="str">
        <f>"2561406011914"</f>
        <v>2561406011914</v>
      </c>
      <c r="C4987" s="8" t="s">
        <v>12</v>
      </c>
      <c r="D4987" s="9">
        <v>52.94</v>
      </c>
      <c r="E4987" s="8">
        <v>89</v>
      </c>
    </row>
    <row r="4988" s="3" customFormat="1" ht="18.75" spans="1:5">
      <c r="A4988" s="8" t="str">
        <f t="shared" si="88"/>
        <v>250024</v>
      </c>
      <c r="B4988" s="8" t="str">
        <f>"2561406011619"</f>
        <v>2561406011619</v>
      </c>
      <c r="C4988" s="8" t="s">
        <v>12</v>
      </c>
      <c r="D4988" s="9">
        <v>52.78</v>
      </c>
      <c r="E4988" s="8">
        <v>90</v>
      </c>
    </row>
    <row r="4989" s="3" customFormat="1" ht="18.75" spans="1:5">
      <c r="A4989" s="8" t="str">
        <f t="shared" si="88"/>
        <v>250024</v>
      </c>
      <c r="B4989" s="8" t="str">
        <f>"2561406012130"</f>
        <v>2561406012130</v>
      </c>
      <c r="C4989" s="8" t="s">
        <v>12</v>
      </c>
      <c r="D4989" s="9">
        <v>52.57</v>
      </c>
      <c r="E4989" s="8">
        <v>91</v>
      </c>
    </row>
    <row r="4990" s="3" customFormat="1" ht="18.75" spans="1:5">
      <c r="A4990" s="8" t="str">
        <f t="shared" si="88"/>
        <v>250024</v>
      </c>
      <c r="B4990" s="8" t="str">
        <f>"2561406012528"</f>
        <v>2561406012528</v>
      </c>
      <c r="C4990" s="8" t="s">
        <v>12</v>
      </c>
      <c r="D4990" s="9">
        <v>51.94</v>
      </c>
      <c r="E4990" s="8">
        <v>92</v>
      </c>
    </row>
    <row r="4991" s="3" customFormat="1" ht="18.75" spans="1:5">
      <c r="A4991" s="8" t="str">
        <f t="shared" si="88"/>
        <v>250024</v>
      </c>
      <c r="B4991" s="8" t="str">
        <f>"2561406011901"</f>
        <v>2561406011901</v>
      </c>
      <c r="C4991" s="8" t="s">
        <v>12</v>
      </c>
      <c r="D4991" s="9">
        <v>51.9</v>
      </c>
      <c r="E4991" s="8">
        <v>93</v>
      </c>
    </row>
    <row r="4992" s="3" customFormat="1" ht="18.75" spans="1:5">
      <c r="A4992" s="8" t="str">
        <f t="shared" si="88"/>
        <v>250024</v>
      </c>
      <c r="B4992" s="8" t="str">
        <f>"2561406011722"</f>
        <v>2561406011722</v>
      </c>
      <c r="C4992" s="8" t="s">
        <v>12</v>
      </c>
      <c r="D4992" s="9">
        <v>51.71</v>
      </c>
      <c r="E4992" s="8">
        <v>94</v>
      </c>
    </row>
    <row r="4993" s="3" customFormat="1" ht="18.75" spans="1:5">
      <c r="A4993" s="8" t="str">
        <f t="shared" si="88"/>
        <v>250024</v>
      </c>
      <c r="B4993" s="8" t="str">
        <f>"2561406011713"</f>
        <v>2561406011713</v>
      </c>
      <c r="C4993" s="8" t="s">
        <v>12</v>
      </c>
      <c r="D4993" s="9">
        <v>51.66</v>
      </c>
      <c r="E4993" s="8">
        <v>95</v>
      </c>
    </row>
    <row r="4994" s="3" customFormat="1" ht="18.75" spans="1:5">
      <c r="A4994" s="8" t="str">
        <f t="shared" si="88"/>
        <v>250024</v>
      </c>
      <c r="B4994" s="8" t="str">
        <f>"2561406012530"</f>
        <v>2561406012530</v>
      </c>
      <c r="C4994" s="8" t="s">
        <v>12</v>
      </c>
      <c r="D4994" s="9">
        <v>51.51</v>
      </c>
      <c r="E4994" s="8">
        <v>96</v>
      </c>
    </row>
    <row r="4995" s="3" customFormat="1" ht="18.75" spans="1:5">
      <c r="A4995" s="8" t="str">
        <f t="shared" si="88"/>
        <v>250024</v>
      </c>
      <c r="B4995" s="8" t="str">
        <f>"2561406011920"</f>
        <v>2561406011920</v>
      </c>
      <c r="C4995" s="8" t="s">
        <v>12</v>
      </c>
      <c r="D4995" s="9">
        <v>50.76</v>
      </c>
      <c r="E4995" s="8">
        <v>97</v>
      </c>
    </row>
    <row r="4996" s="3" customFormat="1" ht="18.75" spans="1:5">
      <c r="A4996" s="8" t="str">
        <f t="shared" si="88"/>
        <v>250024</v>
      </c>
      <c r="B4996" s="8" t="str">
        <f>"2561406011815"</f>
        <v>2561406011815</v>
      </c>
      <c r="C4996" s="8" t="s">
        <v>12</v>
      </c>
      <c r="D4996" s="9">
        <v>50.7</v>
      </c>
      <c r="E4996" s="8">
        <v>98</v>
      </c>
    </row>
    <row r="4997" s="3" customFormat="1" ht="18.75" spans="1:5">
      <c r="A4997" s="8" t="str">
        <f t="shared" si="88"/>
        <v>250024</v>
      </c>
      <c r="B4997" s="8" t="str">
        <f>"2561406011827"</f>
        <v>2561406011827</v>
      </c>
      <c r="C4997" s="8" t="s">
        <v>12</v>
      </c>
      <c r="D4997" s="9">
        <v>50.55</v>
      </c>
      <c r="E4997" s="8">
        <v>99</v>
      </c>
    </row>
    <row r="4998" s="3" customFormat="1" ht="18.75" spans="1:5">
      <c r="A4998" s="8" t="str">
        <f t="shared" si="88"/>
        <v>250024</v>
      </c>
      <c r="B4998" s="8" t="str">
        <f>"2561406012414"</f>
        <v>2561406012414</v>
      </c>
      <c r="C4998" s="8" t="s">
        <v>12</v>
      </c>
      <c r="D4998" s="9">
        <v>50.48</v>
      </c>
      <c r="E4998" s="8">
        <v>100</v>
      </c>
    </row>
    <row r="4999" s="3" customFormat="1" ht="18.75" spans="1:5">
      <c r="A4999" s="8" t="str">
        <f t="shared" si="88"/>
        <v>250024</v>
      </c>
      <c r="B4999" s="8" t="str">
        <f>"2561406011613"</f>
        <v>2561406011613</v>
      </c>
      <c r="C4999" s="8" t="s">
        <v>12</v>
      </c>
      <c r="D4999" s="9">
        <v>49.76</v>
      </c>
      <c r="E4999" s="8">
        <v>101</v>
      </c>
    </row>
    <row r="5000" s="3" customFormat="1" ht="18.75" spans="1:5">
      <c r="A5000" s="8" t="str">
        <f t="shared" si="88"/>
        <v>250024</v>
      </c>
      <c r="B5000" s="8" t="str">
        <f>"2561406011615"</f>
        <v>2561406011615</v>
      </c>
      <c r="C5000" s="8" t="s">
        <v>12</v>
      </c>
      <c r="D5000" s="9">
        <v>49.54</v>
      </c>
      <c r="E5000" s="8">
        <v>102</v>
      </c>
    </row>
    <row r="5001" s="3" customFormat="1" ht="18.75" spans="1:5">
      <c r="A5001" s="8" t="str">
        <f t="shared" si="88"/>
        <v>250024</v>
      </c>
      <c r="B5001" s="8" t="str">
        <f>"2561406012208"</f>
        <v>2561406012208</v>
      </c>
      <c r="C5001" s="8" t="s">
        <v>12</v>
      </c>
      <c r="D5001" s="9">
        <v>49.12</v>
      </c>
      <c r="E5001" s="8">
        <v>103</v>
      </c>
    </row>
    <row r="5002" s="3" customFormat="1" ht="18.75" spans="1:5">
      <c r="A5002" s="8" t="str">
        <f t="shared" si="88"/>
        <v>250024</v>
      </c>
      <c r="B5002" s="8" t="str">
        <f>"2561406011629"</f>
        <v>2561406011629</v>
      </c>
      <c r="C5002" s="8" t="s">
        <v>12</v>
      </c>
      <c r="D5002" s="9">
        <v>48.26</v>
      </c>
      <c r="E5002" s="8">
        <v>104</v>
      </c>
    </row>
    <row r="5003" s="3" customFormat="1" ht="18.75" spans="1:5">
      <c r="A5003" s="8" t="str">
        <f t="shared" si="88"/>
        <v>250024</v>
      </c>
      <c r="B5003" s="8" t="str">
        <f>"2561406012221"</f>
        <v>2561406012221</v>
      </c>
      <c r="C5003" s="8" t="s">
        <v>12</v>
      </c>
      <c r="D5003" s="9">
        <v>47.85</v>
      </c>
      <c r="E5003" s="8">
        <v>105</v>
      </c>
    </row>
    <row r="5004" s="3" customFormat="1" ht="18.75" spans="1:5">
      <c r="A5004" s="8" t="str">
        <f t="shared" si="88"/>
        <v>250024</v>
      </c>
      <c r="B5004" s="8" t="str">
        <f>"2561406011922"</f>
        <v>2561406011922</v>
      </c>
      <c r="C5004" s="8" t="s">
        <v>12</v>
      </c>
      <c r="D5004" s="9">
        <v>47.04</v>
      </c>
      <c r="E5004" s="8">
        <v>106</v>
      </c>
    </row>
    <row r="5005" s="3" customFormat="1" ht="18.75" spans="1:5">
      <c r="A5005" s="8" t="str">
        <f t="shared" si="88"/>
        <v>250024</v>
      </c>
      <c r="B5005" s="8" t="str">
        <f>"2561406011826"</f>
        <v>2561406011826</v>
      </c>
      <c r="C5005" s="8" t="s">
        <v>12</v>
      </c>
      <c r="D5005" s="9">
        <v>46.8</v>
      </c>
      <c r="E5005" s="8">
        <v>107</v>
      </c>
    </row>
    <row r="5006" s="3" customFormat="1" ht="18.75" spans="1:5">
      <c r="A5006" s="8" t="str">
        <f t="shared" si="88"/>
        <v>250024</v>
      </c>
      <c r="B5006" s="8" t="str">
        <f>"2561406011825"</f>
        <v>2561406011825</v>
      </c>
      <c r="C5006" s="8" t="s">
        <v>12</v>
      </c>
      <c r="D5006" s="9">
        <v>46.28</v>
      </c>
      <c r="E5006" s="8">
        <v>108</v>
      </c>
    </row>
    <row r="5007" s="3" customFormat="1" ht="18.75" spans="1:5">
      <c r="A5007" s="8" t="str">
        <f t="shared" si="88"/>
        <v>250024</v>
      </c>
      <c r="B5007" s="8" t="str">
        <f>"2561406011611"</f>
        <v>2561406011611</v>
      </c>
      <c r="C5007" s="8" t="s">
        <v>12</v>
      </c>
      <c r="D5007" s="9">
        <v>46.26</v>
      </c>
      <c r="E5007" s="8">
        <v>109</v>
      </c>
    </row>
    <row r="5008" s="3" customFormat="1" ht="18.75" spans="1:5">
      <c r="A5008" s="8" t="str">
        <f t="shared" si="88"/>
        <v>250024</v>
      </c>
      <c r="B5008" s="8" t="str">
        <f>"2561406011930"</f>
        <v>2561406011930</v>
      </c>
      <c r="C5008" s="8" t="s">
        <v>12</v>
      </c>
      <c r="D5008" s="9">
        <v>45.96</v>
      </c>
      <c r="E5008" s="8">
        <v>110</v>
      </c>
    </row>
    <row r="5009" s="3" customFormat="1" ht="18.75" spans="1:5">
      <c r="A5009" s="8" t="str">
        <f t="shared" si="88"/>
        <v>250024</v>
      </c>
      <c r="B5009" s="8" t="str">
        <f>"2561406012017"</f>
        <v>2561406012017</v>
      </c>
      <c r="C5009" s="8" t="s">
        <v>12</v>
      </c>
      <c r="D5009" s="9">
        <v>44.89</v>
      </c>
      <c r="E5009" s="8">
        <v>111</v>
      </c>
    </row>
    <row r="5010" s="3" customFormat="1" ht="18.75" spans="1:5">
      <c r="A5010" s="8" t="str">
        <f t="shared" si="88"/>
        <v>250024</v>
      </c>
      <c r="B5010" s="8" t="str">
        <f>"2561406012311"</f>
        <v>2561406012311</v>
      </c>
      <c r="C5010" s="8" t="s">
        <v>12</v>
      </c>
      <c r="D5010" s="9">
        <v>43.37</v>
      </c>
      <c r="E5010" s="8">
        <v>112</v>
      </c>
    </row>
    <row r="5011" s="3" customFormat="1" ht="18.75" spans="1:5">
      <c r="A5011" s="8" t="str">
        <f t="shared" si="88"/>
        <v>250024</v>
      </c>
      <c r="B5011" s="8" t="str">
        <f>"2561406012511"</f>
        <v>2561406012511</v>
      </c>
      <c r="C5011" s="8" t="s">
        <v>12</v>
      </c>
      <c r="D5011" s="9">
        <v>37.96</v>
      </c>
      <c r="E5011" s="8">
        <v>113</v>
      </c>
    </row>
    <row r="5012" s="3" customFormat="1" ht="18.75" spans="1:5">
      <c r="A5012" s="8" t="str">
        <f t="shared" si="88"/>
        <v>250024</v>
      </c>
      <c r="B5012" s="8" t="str">
        <f>"2561406011915"</f>
        <v>2561406011915</v>
      </c>
      <c r="C5012" s="8" t="s">
        <v>12</v>
      </c>
      <c r="D5012" s="9">
        <v>37.82</v>
      </c>
      <c r="E5012" s="8">
        <v>114</v>
      </c>
    </row>
    <row r="5013" s="3" customFormat="1" ht="18.75" spans="1:5">
      <c r="A5013" s="8" t="str">
        <f t="shared" si="88"/>
        <v>250024</v>
      </c>
      <c r="B5013" s="8" t="str">
        <f>"2561406012509"</f>
        <v>2561406012509</v>
      </c>
      <c r="C5013" s="8" t="s">
        <v>12</v>
      </c>
      <c r="D5013" s="9">
        <v>35.63</v>
      </c>
      <c r="E5013" s="8">
        <v>115</v>
      </c>
    </row>
    <row r="5014" s="3" customFormat="1" ht="18.75" spans="1:5">
      <c r="A5014" s="8" t="str">
        <f t="shared" si="88"/>
        <v>250024</v>
      </c>
      <c r="B5014" s="8" t="str">
        <f>"2561406011928"</f>
        <v>2561406011928</v>
      </c>
      <c r="C5014" s="8" t="s">
        <v>12</v>
      </c>
      <c r="D5014" s="9">
        <v>33.35</v>
      </c>
      <c r="E5014" s="8">
        <v>116</v>
      </c>
    </row>
    <row r="5015" s="3" customFormat="1" ht="18.75" spans="1:5">
      <c r="A5015" s="8" t="str">
        <f t="shared" si="88"/>
        <v>250024</v>
      </c>
      <c r="B5015" s="8" t="str">
        <f>"2561406011918"</f>
        <v>2561406011918</v>
      </c>
      <c r="C5015" s="8" t="s">
        <v>12</v>
      </c>
      <c r="D5015" s="9">
        <v>28.71</v>
      </c>
      <c r="E5015" s="8">
        <v>117</v>
      </c>
    </row>
    <row r="5016" s="3" customFormat="1" ht="18.75" spans="1:5">
      <c r="A5016" s="8" t="str">
        <f t="shared" si="88"/>
        <v>250024</v>
      </c>
      <c r="B5016" s="8" t="str">
        <f>"2561406011610"</f>
        <v>2561406011610</v>
      </c>
      <c r="C5016" s="8" t="s">
        <v>12</v>
      </c>
      <c r="D5016" s="9">
        <v>0</v>
      </c>
      <c r="E5016" s="8">
        <v>118</v>
      </c>
    </row>
    <row r="5017" s="3" customFormat="1" ht="18.75" spans="1:5">
      <c r="A5017" s="8" t="str">
        <f t="shared" si="88"/>
        <v>250024</v>
      </c>
      <c r="B5017" s="8" t="str">
        <f>"2561406011612"</f>
        <v>2561406011612</v>
      </c>
      <c r="C5017" s="8" t="s">
        <v>12</v>
      </c>
      <c r="D5017" s="9">
        <v>0</v>
      </c>
      <c r="E5017" s="8">
        <v>118</v>
      </c>
    </row>
    <row r="5018" s="3" customFormat="1" ht="18.75" spans="1:5">
      <c r="A5018" s="8" t="str">
        <f t="shared" si="88"/>
        <v>250024</v>
      </c>
      <c r="B5018" s="8" t="str">
        <f>"2561406011614"</f>
        <v>2561406011614</v>
      </c>
      <c r="C5018" s="8" t="s">
        <v>12</v>
      </c>
      <c r="D5018" s="9">
        <v>0</v>
      </c>
      <c r="E5018" s="8">
        <v>118</v>
      </c>
    </row>
    <row r="5019" s="3" customFormat="1" ht="18.75" spans="1:5">
      <c r="A5019" s="8" t="str">
        <f t="shared" si="88"/>
        <v>250024</v>
      </c>
      <c r="B5019" s="8" t="str">
        <f>"2561406011617"</f>
        <v>2561406011617</v>
      </c>
      <c r="C5019" s="8" t="s">
        <v>12</v>
      </c>
      <c r="D5019" s="9">
        <v>0</v>
      </c>
      <c r="E5019" s="8">
        <v>118</v>
      </c>
    </row>
    <row r="5020" s="3" customFormat="1" ht="18.75" spans="1:5">
      <c r="A5020" s="8" t="str">
        <f t="shared" si="88"/>
        <v>250024</v>
      </c>
      <c r="B5020" s="8" t="str">
        <f>"2561406011618"</f>
        <v>2561406011618</v>
      </c>
      <c r="C5020" s="8" t="s">
        <v>12</v>
      </c>
      <c r="D5020" s="9">
        <v>0</v>
      </c>
      <c r="E5020" s="8">
        <v>118</v>
      </c>
    </row>
    <row r="5021" s="3" customFormat="1" ht="18.75" spans="1:5">
      <c r="A5021" s="8" t="str">
        <f t="shared" si="88"/>
        <v>250024</v>
      </c>
      <c r="B5021" s="8" t="str">
        <f>"2561406011620"</f>
        <v>2561406011620</v>
      </c>
      <c r="C5021" s="8" t="s">
        <v>12</v>
      </c>
      <c r="D5021" s="9">
        <v>0</v>
      </c>
      <c r="E5021" s="8">
        <v>118</v>
      </c>
    </row>
    <row r="5022" s="3" customFormat="1" ht="18.75" spans="1:5">
      <c r="A5022" s="8" t="str">
        <f t="shared" si="88"/>
        <v>250024</v>
      </c>
      <c r="B5022" s="8" t="str">
        <f>"2561406011621"</f>
        <v>2561406011621</v>
      </c>
      <c r="C5022" s="8" t="s">
        <v>12</v>
      </c>
      <c r="D5022" s="9">
        <v>0</v>
      </c>
      <c r="E5022" s="8">
        <v>118</v>
      </c>
    </row>
    <row r="5023" s="3" customFormat="1" ht="18.75" spans="1:5">
      <c r="A5023" s="8" t="str">
        <f t="shared" si="88"/>
        <v>250024</v>
      </c>
      <c r="B5023" s="8" t="str">
        <f>"2561406011623"</f>
        <v>2561406011623</v>
      </c>
      <c r="C5023" s="8" t="s">
        <v>12</v>
      </c>
      <c r="D5023" s="9">
        <v>0</v>
      </c>
      <c r="E5023" s="8">
        <v>118</v>
      </c>
    </row>
    <row r="5024" s="3" customFormat="1" ht="18.75" spans="1:5">
      <c r="A5024" s="8" t="str">
        <f t="shared" si="88"/>
        <v>250024</v>
      </c>
      <c r="B5024" s="8" t="str">
        <f>"2561406011624"</f>
        <v>2561406011624</v>
      </c>
      <c r="C5024" s="8" t="s">
        <v>12</v>
      </c>
      <c r="D5024" s="9">
        <v>0</v>
      </c>
      <c r="E5024" s="8">
        <v>118</v>
      </c>
    </row>
    <row r="5025" s="3" customFormat="1" ht="18.75" spans="1:5">
      <c r="A5025" s="8" t="str">
        <f t="shared" si="88"/>
        <v>250024</v>
      </c>
      <c r="B5025" s="8" t="str">
        <f>"2561406011625"</f>
        <v>2561406011625</v>
      </c>
      <c r="C5025" s="8" t="s">
        <v>12</v>
      </c>
      <c r="D5025" s="9">
        <v>0</v>
      </c>
      <c r="E5025" s="8">
        <v>118</v>
      </c>
    </row>
    <row r="5026" s="3" customFormat="1" ht="18.75" spans="1:5">
      <c r="A5026" s="8" t="str">
        <f t="shared" si="88"/>
        <v>250024</v>
      </c>
      <c r="B5026" s="8" t="str">
        <f>"2561406011626"</f>
        <v>2561406011626</v>
      </c>
      <c r="C5026" s="8" t="s">
        <v>12</v>
      </c>
      <c r="D5026" s="9">
        <v>0</v>
      </c>
      <c r="E5026" s="8">
        <v>118</v>
      </c>
    </row>
    <row r="5027" s="3" customFormat="1" ht="18.75" spans="1:5">
      <c r="A5027" s="8" t="str">
        <f t="shared" ref="A5027:A5090" si="89">"250024"</f>
        <v>250024</v>
      </c>
      <c r="B5027" s="8" t="str">
        <f>"2561406011630"</f>
        <v>2561406011630</v>
      </c>
      <c r="C5027" s="8" t="s">
        <v>12</v>
      </c>
      <c r="D5027" s="9">
        <v>0</v>
      </c>
      <c r="E5027" s="8">
        <v>118</v>
      </c>
    </row>
    <row r="5028" s="3" customFormat="1" ht="18.75" spans="1:5">
      <c r="A5028" s="8" t="str">
        <f t="shared" si="89"/>
        <v>250024</v>
      </c>
      <c r="B5028" s="8" t="str">
        <f>"2561406011701"</f>
        <v>2561406011701</v>
      </c>
      <c r="C5028" s="8" t="s">
        <v>12</v>
      </c>
      <c r="D5028" s="9">
        <v>0</v>
      </c>
      <c r="E5028" s="8">
        <v>118</v>
      </c>
    </row>
    <row r="5029" s="3" customFormat="1" ht="18.75" spans="1:5">
      <c r="A5029" s="8" t="str">
        <f t="shared" si="89"/>
        <v>250024</v>
      </c>
      <c r="B5029" s="8" t="str">
        <f>"2561406011705"</f>
        <v>2561406011705</v>
      </c>
      <c r="C5029" s="8" t="s">
        <v>12</v>
      </c>
      <c r="D5029" s="9">
        <v>0</v>
      </c>
      <c r="E5029" s="8">
        <v>118</v>
      </c>
    </row>
    <row r="5030" s="3" customFormat="1" ht="18.75" spans="1:5">
      <c r="A5030" s="8" t="str">
        <f t="shared" si="89"/>
        <v>250024</v>
      </c>
      <c r="B5030" s="8" t="str">
        <f>"2561406011706"</f>
        <v>2561406011706</v>
      </c>
      <c r="C5030" s="8" t="s">
        <v>12</v>
      </c>
      <c r="D5030" s="9">
        <v>0</v>
      </c>
      <c r="E5030" s="8">
        <v>118</v>
      </c>
    </row>
    <row r="5031" s="3" customFormat="1" ht="18.75" spans="1:5">
      <c r="A5031" s="8" t="str">
        <f t="shared" si="89"/>
        <v>250024</v>
      </c>
      <c r="B5031" s="8" t="str">
        <f>"2561406011707"</f>
        <v>2561406011707</v>
      </c>
      <c r="C5031" s="8" t="s">
        <v>12</v>
      </c>
      <c r="D5031" s="9">
        <v>0</v>
      </c>
      <c r="E5031" s="8">
        <v>118</v>
      </c>
    </row>
    <row r="5032" s="3" customFormat="1" ht="18.75" spans="1:5">
      <c r="A5032" s="8" t="str">
        <f t="shared" si="89"/>
        <v>250024</v>
      </c>
      <c r="B5032" s="8" t="str">
        <f>"2561406011709"</f>
        <v>2561406011709</v>
      </c>
      <c r="C5032" s="8" t="s">
        <v>12</v>
      </c>
      <c r="D5032" s="9">
        <v>0</v>
      </c>
      <c r="E5032" s="8">
        <v>118</v>
      </c>
    </row>
    <row r="5033" s="3" customFormat="1" ht="18.75" spans="1:5">
      <c r="A5033" s="8" t="str">
        <f t="shared" si="89"/>
        <v>250024</v>
      </c>
      <c r="B5033" s="8" t="str">
        <f>"2561406011710"</f>
        <v>2561406011710</v>
      </c>
      <c r="C5033" s="8" t="s">
        <v>12</v>
      </c>
      <c r="D5033" s="9">
        <v>0</v>
      </c>
      <c r="E5033" s="8">
        <v>118</v>
      </c>
    </row>
    <row r="5034" s="3" customFormat="1" ht="18.75" spans="1:5">
      <c r="A5034" s="8" t="str">
        <f t="shared" si="89"/>
        <v>250024</v>
      </c>
      <c r="B5034" s="8" t="str">
        <f>"2561406011711"</f>
        <v>2561406011711</v>
      </c>
      <c r="C5034" s="8" t="s">
        <v>12</v>
      </c>
      <c r="D5034" s="9">
        <v>0</v>
      </c>
      <c r="E5034" s="8">
        <v>118</v>
      </c>
    </row>
    <row r="5035" s="3" customFormat="1" ht="18.75" spans="1:5">
      <c r="A5035" s="8" t="str">
        <f t="shared" si="89"/>
        <v>250024</v>
      </c>
      <c r="B5035" s="8" t="str">
        <f>"2561406011712"</f>
        <v>2561406011712</v>
      </c>
      <c r="C5035" s="8" t="s">
        <v>12</v>
      </c>
      <c r="D5035" s="9">
        <v>0</v>
      </c>
      <c r="E5035" s="8">
        <v>118</v>
      </c>
    </row>
    <row r="5036" s="3" customFormat="1" ht="18.75" spans="1:5">
      <c r="A5036" s="8" t="str">
        <f t="shared" si="89"/>
        <v>250024</v>
      </c>
      <c r="B5036" s="8" t="str">
        <f>"2561406011714"</f>
        <v>2561406011714</v>
      </c>
      <c r="C5036" s="8" t="s">
        <v>12</v>
      </c>
      <c r="D5036" s="9">
        <v>0</v>
      </c>
      <c r="E5036" s="8">
        <v>118</v>
      </c>
    </row>
    <row r="5037" s="3" customFormat="1" ht="18.75" spans="1:5">
      <c r="A5037" s="8" t="str">
        <f t="shared" si="89"/>
        <v>250024</v>
      </c>
      <c r="B5037" s="8" t="str">
        <f>"2561406011715"</f>
        <v>2561406011715</v>
      </c>
      <c r="C5037" s="8" t="s">
        <v>12</v>
      </c>
      <c r="D5037" s="9">
        <v>0</v>
      </c>
      <c r="E5037" s="8">
        <v>118</v>
      </c>
    </row>
    <row r="5038" s="3" customFormat="1" ht="18.75" spans="1:5">
      <c r="A5038" s="8" t="str">
        <f t="shared" si="89"/>
        <v>250024</v>
      </c>
      <c r="B5038" s="8" t="str">
        <f>"2561406011718"</f>
        <v>2561406011718</v>
      </c>
      <c r="C5038" s="8" t="s">
        <v>12</v>
      </c>
      <c r="D5038" s="9">
        <v>0</v>
      </c>
      <c r="E5038" s="8">
        <v>118</v>
      </c>
    </row>
    <row r="5039" s="3" customFormat="1" ht="18.75" spans="1:5">
      <c r="A5039" s="8" t="str">
        <f t="shared" si="89"/>
        <v>250024</v>
      </c>
      <c r="B5039" s="8" t="str">
        <f>"2561406011719"</f>
        <v>2561406011719</v>
      </c>
      <c r="C5039" s="8" t="s">
        <v>12</v>
      </c>
      <c r="D5039" s="9">
        <v>0</v>
      </c>
      <c r="E5039" s="8">
        <v>118</v>
      </c>
    </row>
    <row r="5040" s="3" customFormat="1" ht="18.75" spans="1:5">
      <c r="A5040" s="8" t="str">
        <f t="shared" si="89"/>
        <v>250024</v>
      </c>
      <c r="B5040" s="8" t="str">
        <f>"2561406011720"</f>
        <v>2561406011720</v>
      </c>
      <c r="C5040" s="8" t="s">
        <v>12</v>
      </c>
      <c r="D5040" s="9">
        <v>0</v>
      </c>
      <c r="E5040" s="8">
        <v>118</v>
      </c>
    </row>
    <row r="5041" s="3" customFormat="1" ht="18.75" spans="1:5">
      <c r="A5041" s="8" t="str">
        <f t="shared" si="89"/>
        <v>250024</v>
      </c>
      <c r="B5041" s="8" t="str">
        <f>"2561406011721"</f>
        <v>2561406011721</v>
      </c>
      <c r="C5041" s="8" t="s">
        <v>12</v>
      </c>
      <c r="D5041" s="9">
        <v>0</v>
      </c>
      <c r="E5041" s="8">
        <v>118</v>
      </c>
    </row>
    <row r="5042" s="3" customFormat="1" ht="18.75" spans="1:5">
      <c r="A5042" s="8" t="str">
        <f t="shared" si="89"/>
        <v>250024</v>
      </c>
      <c r="B5042" s="8" t="str">
        <f>"2561406011723"</f>
        <v>2561406011723</v>
      </c>
      <c r="C5042" s="8" t="s">
        <v>12</v>
      </c>
      <c r="D5042" s="9">
        <v>0</v>
      </c>
      <c r="E5042" s="8">
        <v>118</v>
      </c>
    </row>
    <row r="5043" s="3" customFormat="1" ht="18.75" spans="1:5">
      <c r="A5043" s="8" t="str">
        <f t="shared" si="89"/>
        <v>250024</v>
      </c>
      <c r="B5043" s="8" t="str">
        <f>"2561406011724"</f>
        <v>2561406011724</v>
      </c>
      <c r="C5043" s="8" t="s">
        <v>12</v>
      </c>
      <c r="D5043" s="9">
        <v>0</v>
      </c>
      <c r="E5043" s="8">
        <v>118</v>
      </c>
    </row>
    <row r="5044" s="3" customFormat="1" ht="18.75" spans="1:5">
      <c r="A5044" s="8" t="str">
        <f t="shared" si="89"/>
        <v>250024</v>
      </c>
      <c r="B5044" s="8" t="str">
        <f>"2561406011725"</f>
        <v>2561406011725</v>
      </c>
      <c r="C5044" s="8" t="s">
        <v>12</v>
      </c>
      <c r="D5044" s="9">
        <v>0</v>
      </c>
      <c r="E5044" s="8">
        <v>118</v>
      </c>
    </row>
    <row r="5045" s="3" customFormat="1" ht="18.75" spans="1:5">
      <c r="A5045" s="8" t="str">
        <f t="shared" si="89"/>
        <v>250024</v>
      </c>
      <c r="B5045" s="8" t="str">
        <f>"2561406011726"</f>
        <v>2561406011726</v>
      </c>
      <c r="C5045" s="8" t="s">
        <v>12</v>
      </c>
      <c r="D5045" s="9">
        <v>0</v>
      </c>
      <c r="E5045" s="8">
        <v>118</v>
      </c>
    </row>
    <row r="5046" s="3" customFormat="1" ht="18.75" spans="1:5">
      <c r="A5046" s="8" t="str">
        <f t="shared" si="89"/>
        <v>250024</v>
      </c>
      <c r="B5046" s="8" t="str">
        <f>"2561406011728"</f>
        <v>2561406011728</v>
      </c>
      <c r="C5046" s="8" t="s">
        <v>12</v>
      </c>
      <c r="D5046" s="9">
        <v>0</v>
      </c>
      <c r="E5046" s="8">
        <v>118</v>
      </c>
    </row>
    <row r="5047" s="3" customFormat="1" ht="18.75" spans="1:5">
      <c r="A5047" s="8" t="str">
        <f t="shared" si="89"/>
        <v>250024</v>
      </c>
      <c r="B5047" s="8" t="str">
        <f>"2561406011730"</f>
        <v>2561406011730</v>
      </c>
      <c r="C5047" s="8" t="s">
        <v>12</v>
      </c>
      <c r="D5047" s="9">
        <v>0</v>
      </c>
      <c r="E5047" s="8">
        <v>118</v>
      </c>
    </row>
    <row r="5048" s="3" customFormat="1" ht="18.75" spans="1:5">
      <c r="A5048" s="8" t="str">
        <f t="shared" si="89"/>
        <v>250024</v>
      </c>
      <c r="B5048" s="8" t="str">
        <f>"2561406011801"</f>
        <v>2561406011801</v>
      </c>
      <c r="C5048" s="8" t="s">
        <v>12</v>
      </c>
      <c r="D5048" s="9">
        <v>0</v>
      </c>
      <c r="E5048" s="8">
        <v>118</v>
      </c>
    </row>
    <row r="5049" s="3" customFormat="1" ht="18.75" spans="1:5">
      <c r="A5049" s="8" t="str">
        <f t="shared" si="89"/>
        <v>250024</v>
      </c>
      <c r="B5049" s="8" t="str">
        <f>"2561406011805"</f>
        <v>2561406011805</v>
      </c>
      <c r="C5049" s="8" t="s">
        <v>12</v>
      </c>
      <c r="D5049" s="9">
        <v>0</v>
      </c>
      <c r="E5049" s="8">
        <v>118</v>
      </c>
    </row>
    <row r="5050" s="3" customFormat="1" ht="18.75" spans="1:5">
      <c r="A5050" s="8" t="str">
        <f t="shared" si="89"/>
        <v>250024</v>
      </c>
      <c r="B5050" s="8" t="str">
        <f>"2561406011807"</f>
        <v>2561406011807</v>
      </c>
      <c r="C5050" s="8" t="s">
        <v>12</v>
      </c>
      <c r="D5050" s="9">
        <v>0</v>
      </c>
      <c r="E5050" s="8">
        <v>118</v>
      </c>
    </row>
    <row r="5051" s="3" customFormat="1" ht="18.75" spans="1:5">
      <c r="A5051" s="8" t="str">
        <f t="shared" si="89"/>
        <v>250024</v>
      </c>
      <c r="B5051" s="8" t="str">
        <f>"2561406011809"</f>
        <v>2561406011809</v>
      </c>
      <c r="C5051" s="8" t="s">
        <v>12</v>
      </c>
      <c r="D5051" s="9">
        <v>0</v>
      </c>
      <c r="E5051" s="8">
        <v>118</v>
      </c>
    </row>
    <row r="5052" s="3" customFormat="1" ht="18.75" spans="1:5">
      <c r="A5052" s="8" t="str">
        <f t="shared" si="89"/>
        <v>250024</v>
      </c>
      <c r="B5052" s="8" t="str">
        <f>"2561406011811"</f>
        <v>2561406011811</v>
      </c>
      <c r="C5052" s="8" t="s">
        <v>12</v>
      </c>
      <c r="D5052" s="9">
        <v>0</v>
      </c>
      <c r="E5052" s="8">
        <v>118</v>
      </c>
    </row>
    <row r="5053" s="3" customFormat="1" ht="18.75" spans="1:5">
      <c r="A5053" s="8" t="str">
        <f t="shared" si="89"/>
        <v>250024</v>
      </c>
      <c r="B5053" s="8" t="str">
        <f>"2561406011812"</f>
        <v>2561406011812</v>
      </c>
      <c r="C5053" s="8" t="s">
        <v>12</v>
      </c>
      <c r="D5053" s="9">
        <v>0</v>
      </c>
      <c r="E5053" s="8">
        <v>118</v>
      </c>
    </row>
    <row r="5054" s="3" customFormat="1" ht="18.75" spans="1:5">
      <c r="A5054" s="8" t="str">
        <f t="shared" si="89"/>
        <v>250024</v>
      </c>
      <c r="B5054" s="8" t="str">
        <f>"2561406011813"</f>
        <v>2561406011813</v>
      </c>
      <c r="C5054" s="8" t="s">
        <v>12</v>
      </c>
      <c r="D5054" s="9">
        <v>0</v>
      </c>
      <c r="E5054" s="8">
        <v>118</v>
      </c>
    </row>
    <row r="5055" s="3" customFormat="1" ht="18.75" spans="1:5">
      <c r="A5055" s="8" t="str">
        <f t="shared" si="89"/>
        <v>250024</v>
      </c>
      <c r="B5055" s="8" t="str">
        <f>"2561406011822"</f>
        <v>2561406011822</v>
      </c>
      <c r="C5055" s="8" t="s">
        <v>12</v>
      </c>
      <c r="D5055" s="9">
        <v>0</v>
      </c>
      <c r="E5055" s="8">
        <v>118</v>
      </c>
    </row>
    <row r="5056" s="3" customFormat="1" ht="18.75" spans="1:5">
      <c r="A5056" s="8" t="str">
        <f t="shared" si="89"/>
        <v>250024</v>
      </c>
      <c r="B5056" s="8" t="str">
        <f>"2561406011829"</f>
        <v>2561406011829</v>
      </c>
      <c r="C5056" s="8" t="s">
        <v>12</v>
      </c>
      <c r="D5056" s="9">
        <v>0</v>
      </c>
      <c r="E5056" s="8">
        <v>118</v>
      </c>
    </row>
    <row r="5057" s="3" customFormat="1" ht="18.75" spans="1:5">
      <c r="A5057" s="8" t="str">
        <f t="shared" si="89"/>
        <v>250024</v>
      </c>
      <c r="B5057" s="8" t="str">
        <f>"2561406011830"</f>
        <v>2561406011830</v>
      </c>
      <c r="C5057" s="8" t="s">
        <v>12</v>
      </c>
      <c r="D5057" s="9">
        <v>0</v>
      </c>
      <c r="E5057" s="8">
        <v>118</v>
      </c>
    </row>
    <row r="5058" s="3" customFormat="1" ht="18.75" spans="1:5">
      <c r="A5058" s="8" t="str">
        <f t="shared" si="89"/>
        <v>250024</v>
      </c>
      <c r="B5058" s="8" t="str">
        <f>"2561406011904"</f>
        <v>2561406011904</v>
      </c>
      <c r="C5058" s="8" t="s">
        <v>12</v>
      </c>
      <c r="D5058" s="9">
        <v>0</v>
      </c>
      <c r="E5058" s="8">
        <v>118</v>
      </c>
    </row>
    <row r="5059" s="3" customFormat="1" ht="18.75" spans="1:5">
      <c r="A5059" s="8" t="str">
        <f t="shared" si="89"/>
        <v>250024</v>
      </c>
      <c r="B5059" s="8" t="str">
        <f>"2561406011905"</f>
        <v>2561406011905</v>
      </c>
      <c r="C5059" s="8" t="s">
        <v>12</v>
      </c>
      <c r="D5059" s="9">
        <v>0</v>
      </c>
      <c r="E5059" s="8">
        <v>118</v>
      </c>
    </row>
    <row r="5060" s="3" customFormat="1" ht="18.75" spans="1:5">
      <c r="A5060" s="8" t="str">
        <f t="shared" si="89"/>
        <v>250024</v>
      </c>
      <c r="B5060" s="8" t="str">
        <f>"2561406011906"</f>
        <v>2561406011906</v>
      </c>
      <c r="C5060" s="8" t="s">
        <v>12</v>
      </c>
      <c r="D5060" s="9">
        <v>0</v>
      </c>
      <c r="E5060" s="8">
        <v>118</v>
      </c>
    </row>
    <row r="5061" s="3" customFormat="1" ht="18.75" spans="1:5">
      <c r="A5061" s="8" t="str">
        <f t="shared" si="89"/>
        <v>250024</v>
      </c>
      <c r="B5061" s="8" t="str">
        <f>"2561406011908"</f>
        <v>2561406011908</v>
      </c>
      <c r="C5061" s="8" t="s">
        <v>12</v>
      </c>
      <c r="D5061" s="9">
        <v>0</v>
      </c>
      <c r="E5061" s="8">
        <v>118</v>
      </c>
    </row>
    <row r="5062" s="3" customFormat="1" ht="18.75" spans="1:5">
      <c r="A5062" s="8" t="str">
        <f t="shared" si="89"/>
        <v>250024</v>
      </c>
      <c r="B5062" s="8" t="str">
        <f>"2561406011909"</f>
        <v>2561406011909</v>
      </c>
      <c r="C5062" s="8" t="s">
        <v>12</v>
      </c>
      <c r="D5062" s="9">
        <v>0</v>
      </c>
      <c r="E5062" s="8">
        <v>118</v>
      </c>
    </row>
    <row r="5063" s="3" customFormat="1" ht="18.75" spans="1:5">
      <c r="A5063" s="8" t="str">
        <f t="shared" si="89"/>
        <v>250024</v>
      </c>
      <c r="B5063" s="8" t="str">
        <f>"2561406011910"</f>
        <v>2561406011910</v>
      </c>
      <c r="C5063" s="8" t="s">
        <v>12</v>
      </c>
      <c r="D5063" s="9">
        <v>0</v>
      </c>
      <c r="E5063" s="8">
        <v>118</v>
      </c>
    </row>
    <row r="5064" s="3" customFormat="1" ht="18.75" spans="1:5">
      <c r="A5064" s="8" t="str">
        <f t="shared" si="89"/>
        <v>250024</v>
      </c>
      <c r="B5064" s="8" t="str">
        <f>"2561406011911"</f>
        <v>2561406011911</v>
      </c>
      <c r="C5064" s="8" t="s">
        <v>12</v>
      </c>
      <c r="D5064" s="9">
        <v>0</v>
      </c>
      <c r="E5064" s="8">
        <v>118</v>
      </c>
    </row>
    <row r="5065" s="3" customFormat="1" ht="18.75" spans="1:5">
      <c r="A5065" s="8" t="str">
        <f t="shared" si="89"/>
        <v>250024</v>
      </c>
      <c r="B5065" s="8" t="str">
        <f>"2561406011912"</f>
        <v>2561406011912</v>
      </c>
      <c r="C5065" s="8" t="s">
        <v>12</v>
      </c>
      <c r="D5065" s="9">
        <v>0</v>
      </c>
      <c r="E5065" s="8">
        <v>118</v>
      </c>
    </row>
    <row r="5066" s="3" customFormat="1" ht="18.75" spans="1:5">
      <c r="A5066" s="8" t="str">
        <f t="shared" si="89"/>
        <v>250024</v>
      </c>
      <c r="B5066" s="8" t="str">
        <f>"2561406011916"</f>
        <v>2561406011916</v>
      </c>
      <c r="C5066" s="8" t="s">
        <v>12</v>
      </c>
      <c r="D5066" s="9">
        <v>0</v>
      </c>
      <c r="E5066" s="8">
        <v>118</v>
      </c>
    </row>
    <row r="5067" s="3" customFormat="1" ht="18.75" spans="1:5">
      <c r="A5067" s="8" t="str">
        <f t="shared" si="89"/>
        <v>250024</v>
      </c>
      <c r="B5067" s="8" t="str">
        <f>"2561406011917"</f>
        <v>2561406011917</v>
      </c>
      <c r="C5067" s="8" t="s">
        <v>12</v>
      </c>
      <c r="D5067" s="9">
        <v>0</v>
      </c>
      <c r="E5067" s="8">
        <v>118</v>
      </c>
    </row>
    <row r="5068" s="3" customFormat="1" ht="18.75" spans="1:5">
      <c r="A5068" s="8" t="str">
        <f t="shared" si="89"/>
        <v>250024</v>
      </c>
      <c r="B5068" s="8" t="str">
        <f>"2561406011919"</f>
        <v>2561406011919</v>
      </c>
      <c r="C5068" s="8" t="s">
        <v>12</v>
      </c>
      <c r="D5068" s="9">
        <v>0</v>
      </c>
      <c r="E5068" s="8">
        <v>118</v>
      </c>
    </row>
    <row r="5069" s="3" customFormat="1" ht="18.75" spans="1:5">
      <c r="A5069" s="8" t="str">
        <f t="shared" si="89"/>
        <v>250024</v>
      </c>
      <c r="B5069" s="8" t="str">
        <f>"2561406011924"</f>
        <v>2561406011924</v>
      </c>
      <c r="C5069" s="8" t="s">
        <v>12</v>
      </c>
      <c r="D5069" s="9">
        <v>0</v>
      </c>
      <c r="E5069" s="8">
        <v>118</v>
      </c>
    </row>
    <row r="5070" s="3" customFormat="1" ht="18.75" spans="1:5">
      <c r="A5070" s="8" t="str">
        <f t="shared" si="89"/>
        <v>250024</v>
      </c>
      <c r="B5070" s="8" t="str">
        <f>"2561406011927"</f>
        <v>2561406011927</v>
      </c>
      <c r="C5070" s="8" t="s">
        <v>12</v>
      </c>
      <c r="D5070" s="9">
        <v>0</v>
      </c>
      <c r="E5070" s="8">
        <v>118</v>
      </c>
    </row>
    <row r="5071" s="3" customFormat="1" ht="18.75" spans="1:5">
      <c r="A5071" s="8" t="str">
        <f t="shared" si="89"/>
        <v>250024</v>
      </c>
      <c r="B5071" s="8" t="str">
        <f>"2561406011929"</f>
        <v>2561406011929</v>
      </c>
      <c r="C5071" s="8" t="s">
        <v>12</v>
      </c>
      <c r="D5071" s="9">
        <v>0</v>
      </c>
      <c r="E5071" s="8">
        <v>118</v>
      </c>
    </row>
    <row r="5072" s="3" customFormat="1" ht="18.75" spans="1:5">
      <c r="A5072" s="8" t="str">
        <f t="shared" si="89"/>
        <v>250024</v>
      </c>
      <c r="B5072" s="8" t="str">
        <f>"2561406012001"</f>
        <v>2561406012001</v>
      </c>
      <c r="C5072" s="8" t="s">
        <v>12</v>
      </c>
      <c r="D5072" s="9">
        <v>0</v>
      </c>
      <c r="E5072" s="8">
        <v>118</v>
      </c>
    </row>
    <row r="5073" s="3" customFormat="1" ht="18.75" spans="1:5">
      <c r="A5073" s="8" t="str">
        <f t="shared" si="89"/>
        <v>250024</v>
      </c>
      <c r="B5073" s="8" t="str">
        <f>"2561406012004"</f>
        <v>2561406012004</v>
      </c>
      <c r="C5073" s="8" t="s">
        <v>12</v>
      </c>
      <c r="D5073" s="9">
        <v>0</v>
      </c>
      <c r="E5073" s="8">
        <v>118</v>
      </c>
    </row>
    <row r="5074" s="3" customFormat="1" ht="18.75" spans="1:5">
      <c r="A5074" s="8" t="str">
        <f t="shared" si="89"/>
        <v>250024</v>
      </c>
      <c r="B5074" s="8" t="str">
        <f>"2561406012005"</f>
        <v>2561406012005</v>
      </c>
      <c r="C5074" s="8" t="s">
        <v>12</v>
      </c>
      <c r="D5074" s="9">
        <v>0</v>
      </c>
      <c r="E5074" s="8">
        <v>118</v>
      </c>
    </row>
    <row r="5075" s="3" customFormat="1" ht="18.75" spans="1:5">
      <c r="A5075" s="8" t="str">
        <f t="shared" si="89"/>
        <v>250024</v>
      </c>
      <c r="B5075" s="8" t="str">
        <f>"2561406012009"</f>
        <v>2561406012009</v>
      </c>
      <c r="C5075" s="8" t="s">
        <v>12</v>
      </c>
      <c r="D5075" s="9">
        <v>0</v>
      </c>
      <c r="E5075" s="8">
        <v>118</v>
      </c>
    </row>
    <row r="5076" s="3" customFormat="1" ht="18.75" spans="1:5">
      <c r="A5076" s="8" t="str">
        <f t="shared" si="89"/>
        <v>250024</v>
      </c>
      <c r="B5076" s="8" t="str">
        <f>"2561406012010"</f>
        <v>2561406012010</v>
      </c>
      <c r="C5076" s="8" t="s">
        <v>12</v>
      </c>
      <c r="D5076" s="9">
        <v>0</v>
      </c>
      <c r="E5076" s="8">
        <v>118</v>
      </c>
    </row>
    <row r="5077" s="3" customFormat="1" ht="18.75" spans="1:5">
      <c r="A5077" s="8" t="str">
        <f t="shared" si="89"/>
        <v>250024</v>
      </c>
      <c r="B5077" s="8" t="str">
        <f>"2561406012011"</f>
        <v>2561406012011</v>
      </c>
      <c r="C5077" s="8" t="s">
        <v>12</v>
      </c>
      <c r="D5077" s="9">
        <v>0</v>
      </c>
      <c r="E5077" s="8">
        <v>118</v>
      </c>
    </row>
    <row r="5078" s="3" customFormat="1" ht="18.75" spans="1:5">
      <c r="A5078" s="8" t="str">
        <f t="shared" si="89"/>
        <v>250024</v>
      </c>
      <c r="B5078" s="8" t="str">
        <f>"2561406012012"</f>
        <v>2561406012012</v>
      </c>
      <c r="C5078" s="8" t="s">
        <v>12</v>
      </c>
      <c r="D5078" s="9">
        <v>0</v>
      </c>
      <c r="E5078" s="8">
        <v>118</v>
      </c>
    </row>
    <row r="5079" s="3" customFormat="1" ht="18.75" spans="1:5">
      <c r="A5079" s="8" t="str">
        <f t="shared" si="89"/>
        <v>250024</v>
      </c>
      <c r="B5079" s="8" t="str">
        <f>"2561406012014"</f>
        <v>2561406012014</v>
      </c>
      <c r="C5079" s="8" t="s">
        <v>12</v>
      </c>
      <c r="D5079" s="9">
        <v>0</v>
      </c>
      <c r="E5079" s="8">
        <v>118</v>
      </c>
    </row>
    <row r="5080" s="3" customFormat="1" ht="18.75" spans="1:5">
      <c r="A5080" s="8" t="str">
        <f t="shared" si="89"/>
        <v>250024</v>
      </c>
      <c r="B5080" s="8" t="str">
        <f>"2561406012015"</f>
        <v>2561406012015</v>
      </c>
      <c r="C5080" s="8" t="s">
        <v>12</v>
      </c>
      <c r="D5080" s="9">
        <v>0</v>
      </c>
      <c r="E5080" s="8">
        <v>118</v>
      </c>
    </row>
    <row r="5081" s="3" customFormat="1" ht="18.75" spans="1:5">
      <c r="A5081" s="8" t="str">
        <f t="shared" si="89"/>
        <v>250024</v>
      </c>
      <c r="B5081" s="8" t="str">
        <f>"2561406012018"</f>
        <v>2561406012018</v>
      </c>
      <c r="C5081" s="8" t="s">
        <v>12</v>
      </c>
      <c r="D5081" s="9">
        <v>0</v>
      </c>
      <c r="E5081" s="8">
        <v>118</v>
      </c>
    </row>
    <row r="5082" s="3" customFormat="1" ht="18.75" spans="1:5">
      <c r="A5082" s="8" t="str">
        <f t="shared" si="89"/>
        <v>250024</v>
      </c>
      <c r="B5082" s="8" t="str">
        <f>"2561406012019"</f>
        <v>2561406012019</v>
      </c>
      <c r="C5082" s="8" t="s">
        <v>12</v>
      </c>
      <c r="D5082" s="9">
        <v>0</v>
      </c>
      <c r="E5082" s="8">
        <v>118</v>
      </c>
    </row>
    <row r="5083" s="3" customFormat="1" ht="18.75" spans="1:5">
      <c r="A5083" s="8" t="str">
        <f t="shared" si="89"/>
        <v>250024</v>
      </c>
      <c r="B5083" s="8" t="str">
        <f>"2561406012023"</f>
        <v>2561406012023</v>
      </c>
      <c r="C5083" s="8" t="s">
        <v>12</v>
      </c>
      <c r="D5083" s="9">
        <v>0</v>
      </c>
      <c r="E5083" s="8">
        <v>118</v>
      </c>
    </row>
    <row r="5084" s="3" customFormat="1" ht="18.75" spans="1:5">
      <c r="A5084" s="8" t="str">
        <f t="shared" si="89"/>
        <v>250024</v>
      </c>
      <c r="B5084" s="8" t="str">
        <f>"2561406012025"</f>
        <v>2561406012025</v>
      </c>
      <c r="C5084" s="8" t="s">
        <v>12</v>
      </c>
      <c r="D5084" s="9">
        <v>0</v>
      </c>
      <c r="E5084" s="8">
        <v>118</v>
      </c>
    </row>
    <row r="5085" s="3" customFormat="1" ht="18.75" spans="1:5">
      <c r="A5085" s="8" t="str">
        <f t="shared" si="89"/>
        <v>250024</v>
      </c>
      <c r="B5085" s="8" t="str">
        <f>"2561406012026"</f>
        <v>2561406012026</v>
      </c>
      <c r="C5085" s="8" t="s">
        <v>12</v>
      </c>
      <c r="D5085" s="9">
        <v>0</v>
      </c>
      <c r="E5085" s="8">
        <v>118</v>
      </c>
    </row>
    <row r="5086" s="3" customFormat="1" ht="18.75" spans="1:5">
      <c r="A5086" s="8" t="str">
        <f t="shared" si="89"/>
        <v>250024</v>
      </c>
      <c r="B5086" s="8" t="str">
        <f>"2561406012027"</f>
        <v>2561406012027</v>
      </c>
      <c r="C5086" s="8" t="s">
        <v>12</v>
      </c>
      <c r="D5086" s="9">
        <v>0</v>
      </c>
      <c r="E5086" s="8">
        <v>118</v>
      </c>
    </row>
    <row r="5087" s="3" customFormat="1" ht="18.75" spans="1:5">
      <c r="A5087" s="8" t="str">
        <f t="shared" si="89"/>
        <v>250024</v>
      </c>
      <c r="B5087" s="8" t="str">
        <f>"2561406012028"</f>
        <v>2561406012028</v>
      </c>
      <c r="C5087" s="8" t="s">
        <v>12</v>
      </c>
      <c r="D5087" s="9">
        <v>0</v>
      </c>
      <c r="E5087" s="8">
        <v>118</v>
      </c>
    </row>
    <row r="5088" s="3" customFormat="1" ht="18.75" spans="1:5">
      <c r="A5088" s="8" t="str">
        <f t="shared" si="89"/>
        <v>250024</v>
      </c>
      <c r="B5088" s="8" t="str">
        <f>"2561406012029"</f>
        <v>2561406012029</v>
      </c>
      <c r="C5088" s="8" t="s">
        <v>12</v>
      </c>
      <c r="D5088" s="9">
        <v>0</v>
      </c>
      <c r="E5088" s="8">
        <v>118</v>
      </c>
    </row>
    <row r="5089" s="3" customFormat="1" ht="18.75" spans="1:5">
      <c r="A5089" s="8" t="str">
        <f t="shared" si="89"/>
        <v>250024</v>
      </c>
      <c r="B5089" s="8" t="str">
        <f>"2561406012030"</f>
        <v>2561406012030</v>
      </c>
      <c r="C5089" s="8" t="s">
        <v>12</v>
      </c>
      <c r="D5089" s="9">
        <v>0</v>
      </c>
      <c r="E5089" s="8">
        <v>118</v>
      </c>
    </row>
    <row r="5090" s="3" customFormat="1" ht="18.75" spans="1:5">
      <c r="A5090" s="8" t="str">
        <f t="shared" si="89"/>
        <v>250024</v>
      </c>
      <c r="B5090" s="8" t="str">
        <f>"2561406012101"</f>
        <v>2561406012101</v>
      </c>
      <c r="C5090" s="8" t="s">
        <v>12</v>
      </c>
      <c r="D5090" s="9">
        <v>0</v>
      </c>
      <c r="E5090" s="8">
        <v>118</v>
      </c>
    </row>
    <row r="5091" s="3" customFormat="1" ht="18.75" spans="1:5">
      <c r="A5091" s="8" t="str">
        <f t="shared" ref="A5091:A5154" si="90">"250024"</f>
        <v>250024</v>
      </c>
      <c r="B5091" s="8" t="str">
        <f>"2561406012102"</f>
        <v>2561406012102</v>
      </c>
      <c r="C5091" s="8" t="s">
        <v>12</v>
      </c>
      <c r="D5091" s="9">
        <v>0</v>
      </c>
      <c r="E5091" s="8">
        <v>118</v>
      </c>
    </row>
    <row r="5092" s="3" customFormat="1" ht="18.75" spans="1:5">
      <c r="A5092" s="8" t="str">
        <f t="shared" si="90"/>
        <v>250024</v>
      </c>
      <c r="B5092" s="8" t="str">
        <f>"2561406012104"</f>
        <v>2561406012104</v>
      </c>
      <c r="C5092" s="8" t="s">
        <v>12</v>
      </c>
      <c r="D5092" s="9">
        <v>0</v>
      </c>
      <c r="E5092" s="8">
        <v>118</v>
      </c>
    </row>
    <row r="5093" s="3" customFormat="1" ht="18.75" spans="1:5">
      <c r="A5093" s="8" t="str">
        <f t="shared" si="90"/>
        <v>250024</v>
      </c>
      <c r="B5093" s="8" t="str">
        <f>"2561406012105"</f>
        <v>2561406012105</v>
      </c>
      <c r="C5093" s="8" t="s">
        <v>12</v>
      </c>
      <c r="D5093" s="9">
        <v>0</v>
      </c>
      <c r="E5093" s="8">
        <v>118</v>
      </c>
    </row>
    <row r="5094" s="3" customFormat="1" ht="18.75" spans="1:5">
      <c r="A5094" s="8" t="str">
        <f t="shared" si="90"/>
        <v>250024</v>
      </c>
      <c r="B5094" s="8" t="str">
        <f>"2561406012106"</f>
        <v>2561406012106</v>
      </c>
      <c r="C5094" s="8" t="s">
        <v>12</v>
      </c>
      <c r="D5094" s="9">
        <v>0</v>
      </c>
      <c r="E5094" s="8">
        <v>118</v>
      </c>
    </row>
    <row r="5095" s="3" customFormat="1" ht="18.75" spans="1:5">
      <c r="A5095" s="8" t="str">
        <f t="shared" si="90"/>
        <v>250024</v>
      </c>
      <c r="B5095" s="8" t="str">
        <f>"2561406012107"</f>
        <v>2561406012107</v>
      </c>
      <c r="C5095" s="8" t="s">
        <v>12</v>
      </c>
      <c r="D5095" s="9">
        <v>0</v>
      </c>
      <c r="E5095" s="8">
        <v>118</v>
      </c>
    </row>
    <row r="5096" s="3" customFormat="1" ht="18.75" spans="1:5">
      <c r="A5096" s="8" t="str">
        <f t="shared" si="90"/>
        <v>250024</v>
      </c>
      <c r="B5096" s="8" t="str">
        <f>"2561406012108"</f>
        <v>2561406012108</v>
      </c>
      <c r="C5096" s="8" t="s">
        <v>12</v>
      </c>
      <c r="D5096" s="9">
        <v>0</v>
      </c>
      <c r="E5096" s="8">
        <v>118</v>
      </c>
    </row>
    <row r="5097" s="3" customFormat="1" ht="18.75" spans="1:5">
      <c r="A5097" s="8" t="str">
        <f t="shared" si="90"/>
        <v>250024</v>
      </c>
      <c r="B5097" s="8" t="str">
        <f>"2561406012110"</f>
        <v>2561406012110</v>
      </c>
      <c r="C5097" s="8" t="s">
        <v>12</v>
      </c>
      <c r="D5097" s="9">
        <v>0</v>
      </c>
      <c r="E5097" s="8">
        <v>118</v>
      </c>
    </row>
    <row r="5098" s="3" customFormat="1" ht="18.75" spans="1:5">
      <c r="A5098" s="8" t="str">
        <f t="shared" si="90"/>
        <v>250024</v>
      </c>
      <c r="B5098" s="8" t="str">
        <f>"2561406012111"</f>
        <v>2561406012111</v>
      </c>
      <c r="C5098" s="8" t="s">
        <v>12</v>
      </c>
      <c r="D5098" s="9">
        <v>0</v>
      </c>
      <c r="E5098" s="8">
        <v>118</v>
      </c>
    </row>
    <row r="5099" s="3" customFormat="1" ht="18.75" spans="1:5">
      <c r="A5099" s="8" t="str">
        <f t="shared" si="90"/>
        <v>250024</v>
      </c>
      <c r="B5099" s="8" t="str">
        <f>"2561406012112"</f>
        <v>2561406012112</v>
      </c>
      <c r="C5099" s="8" t="s">
        <v>12</v>
      </c>
      <c r="D5099" s="9">
        <v>0</v>
      </c>
      <c r="E5099" s="8">
        <v>118</v>
      </c>
    </row>
    <row r="5100" s="3" customFormat="1" ht="18.75" spans="1:5">
      <c r="A5100" s="8" t="str">
        <f t="shared" si="90"/>
        <v>250024</v>
      </c>
      <c r="B5100" s="8" t="str">
        <f>"2561406012114"</f>
        <v>2561406012114</v>
      </c>
      <c r="C5100" s="8" t="s">
        <v>12</v>
      </c>
      <c r="D5100" s="9">
        <v>0</v>
      </c>
      <c r="E5100" s="8">
        <v>118</v>
      </c>
    </row>
    <row r="5101" s="3" customFormat="1" ht="18.75" spans="1:5">
      <c r="A5101" s="8" t="str">
        <f t="shared" si="90"/>
        <v>250024</v>
      </c>
      <c r="B5101" s="8" t="str">
        <f>"2561406012118"</f>
        <v>2561406012118</v>
      </c>
      <c r="C5101" s="8" t="s">
        <v>12</v>
      </c>
      <c r="D5101" s="9">
        <v>0</v>
      </c>
      <c r="E5101" s="8">
        <v>118</v>
      </c>
    </row>
    <row r="5102" s="3" customFormat="1" ht="18.75" spans="1:5">
      <c r="A5102" s="8" t="str">
        <f t="shared" si="90"/>
        <v>250024</v>
      </c>
      <c r="B5102" s="8" t="str">
        <f>"2561406012120"</f>
        <v>2561406012120</v>
      </c>
      <c r="C5102" s="8" t="s">
        <v>12</v>
      </c>
      <c r="D5102" s="9">
        <v>0</v>
      </c>
      <c r="E5102" s="8">
        <v>118</v>
      </c>
    </row>
    <row r="5103" s="3" customFormat="1" ht="18.75" spans="1:5">
      <c r="A5103" s="8" t="str">
        <f t="shared" si="90"/>
        <v>250024</v>
      </c>
      <c r="B5103" s="8" t="str">
        <f>"2561406012121"</f>
        <v>2561406012121</v>
      </c>
      <c r="C5103" s="8" t="s">
        <v>12</v>
      </c>
      <c r="D5103" s="9">
        <v>0</v>
      </c>
      <c r="E5103" s="8">
        <v>118</v>
      </c>
    </row>
    <row r="5104" s="3" customFormat="1" ht="18.75" spans="1:5">
      <c r="A5104" s="8" t="str">
        <f t="shared" si="90"/>
        <v>250024</v>
      </c>
      <c r="B5104" s="8" t="str">
        <f>"2561406012122"</f>
        <v>2561406012122</v>
      </c>
      <c r="C5104" s="8" t="s">
        <v>12</v>
      </c>
      <c r="D5104" s="9">
        <v>0</v>
      </c>
      <c r="E5104" s="8">
        <v>118</v>
      </c>
    </row>
    <row r="5105" s="3" customFormat="1" ht="18.75" spans="1:5">
      <c r="A5105" s="8" t="str">
        <f t="shared" si="90"/>
        <v>250024</v>
      </c>
      <c r="B5105" s="8" t="str">
        <f>"2561406012123"</f>
        <v>2561406012123</v>
      </c>
      <c r="C5105" s="8" t="s">
        <v>12</v>
      </c>
      <c r="D5105" s="9">
        <v>0</v>
      </c>
      <c r="E5105" s="8">
        <v>118</v>
      </c>
    </row>
    <row r="5106" s="3" customFormat="1" ht="18.75" spans="1:5">
      <c r="A5106" s="8" t="str">
        <f t="shared" si="90"/>
        <v>250024</v>
      </c>
      <c r="B5106" s="8" t="str">
        <f>"2561406012124"</f>
        <v>2561406012124</v>
      </c>
      <c r="C5106" s="8" t="s">
        <v>12</v>
      </c>
      <c r="D5106" s="9">
        <v>0</v>
      </c>
      <c r="E5106" s="8">
        <v>118</v>
      </c>
    </row>
    <row r="5107" s="3" customFormat="1" ht="18.75" spans="1:5">
      <c r="A5107" s="8" t="str">
        <f t="shared" si="90"/>
        <v>250024</v>
      </c>
      <c r="B5107" s="8" t="str">
        <f>"2561406012125"</f>
        <v>2561406012125</v>
      </c>
      <c r="C5107" s="8" t="s">
        <v>12</v>
      </c>
      <c r="D5107" s="9">
        <v>0</v>
      </c>
      <c r="E5107" s="8">
        <v>118</v>
      </c>
    </row>
    <row r="5108" s="3" customFormat="1" ht="18.75" spans="1:5">
      <c r="A5108" s="8" t="str">
        <f t="shared" si="90"/>
        <v>250024</v>
      </c>
      <c r="B5108" s="8" t="str">
        <f>"2561406012126"</f>
        <v>2561406012126</v>
      </c>
      <c r="C5108" s="8" t="s">
        <v>12</v>
      </c>
      <c r="D5108" s="9">
        <v>0</v>
      </c>
      <c r="E5108" s="8">
        <v>118</v>
      </c>
    </row>
    <row r="5109" s="3" customFormat="1" ht="18.75" spans="1:5">
      <c r="A5109" s="8" t="str">
        <f t="shared" si="90"/>
        <v>250024</v>
      </c>
      <c r="B5109" s="8" t="str">
        <f>"2561406012128"</f>
        <v>2561406012128</v>
      </c>
      <c r="C5109" s="8" t="s">
        <v>12</v>
      </c>
      <c r="D5109" s="9">
        <v>0</v>
      </c>
      <c r="E5109" s="8">
        <v>118</v>
      </c>
    </row>
    <row r="5110" s="3" customFormat="1" ht="18.75" spans="1:5">
      <c r="A5110" s="8" t="str">
        <f t="shared" si="90"/>
        <v>250024</v>
      </c>
      <c r="B5110" s="8" t="str">
        <f>"2561406012129"</f>
        <v>2561406012129</v>
      </c>
      <c r="C5110" s="8" t="s">
        <v>12</v>
      </c>
      <c r="D5110" s="9">
        <v>0</v>
      </c>
      <c r="E5110" s="8">
        <v>118</v>
      </c>
    </row>
    <row r="5111" s="3" customFormat="1" ht="18.75" spans="1:5">
      <c r="A5111" s="8" t="str">
        <f t="shared" si="90"/>
        <v>250024</v>
      </c>
      <c r="B5111" s="8" t="str">
        <f>"2561406012203"</f>
        <v>2561406012203</v>
      </c>
      <c r="C5111" s="8" t="s">
        <v>12</v>
      </c>
      <c r="D5111" s="9">
        <v>0</v>
      </c>
      <c r="E5111" s="8">
        <v>118</v>
      </c>
    </row>
    <row r="5112" s="3" customFormat="1" ht="18.75" spans="1:5">
      <c r="A5112" s="8" t="str">
        <f t="shared" si="90"/>
        <v>250024</v>
      </c>
      <c r="B5112" s="8" t="str">
        <f>"2561406012204"</f>
        <v>2561406012204</v>
      </c>
      <c r="C5112" s="8" t="s">
        <v>12</v>
      </c>
      <c r="D5112" s="9">
        <v>0</v>
      </c>
      <c r="E5112" s="8">
        <v>118</v>
      </c>
    </row>
    <row r="5113" s="3" customFormat="1" ht="18.75" spans="1:5">
      <c r="A5113" s="8" t="str">
        <f t="shared" si="90"/>
        <v>250024</v>
      </c>
      <c r="B5113" s="8" t="str">
        <f>"2561406012205"</f>
        <v>2561406012205</v>
      </c>
      <c r="C5113" s="8" t="s">
        <v>12</v>
      </c>
      <c r="D5113" s="9">
        <v>0</v>
      </c>
      <c r="E5113" s="8">
        <v>118</v>
      </c>
    </row>
    <row r="5114" s="3" customFormat="1" ht="18.75" spans="1:5">
      <c r="A5114" s="8" t="str">
        <f t="shared" si="90"/>
        <v>250024</v>
      </c>
      <c r="B5114" s="8" t="str">
        <f>"2561406012206"</f>
        <v>2561406012206</v>
      </c>
      <c r="C5114" s="8" t="s">
        <v>12</v>
      </c>
      <c r="D5114" s="9">
        <v>0</v>
      </c>
      <c r="E5114" s="8">
        <v>118</v>
      </c>
    </row>
    <row r="5115" s="3" customFormat="1" ht="18.75" spans="1:5">
      <c r="A5115" s="8" t="str">
        <f t="shared" si="90"/>
        <v>250024</v>
      </c>
      <c r="B5115" s="8" t="str">
        <f>"2561406012207"</f>
        <v>2561406012207</v>
      </c>
      <c r="C5115" s="8" t="s">
        <v>12</v>
      </c>
      <c r="D5115" s="9">
        <v>0</v>
      </c>
      <c r="E5115" s="8">
        <v>118</v>
      </c>
    </row>
    <row r="5116" s="3" customFormat="1" ht="18.75" spans="1:5">
      <c r="A5116" s="8" t="str">
        <f t="shared" si="90"/>
        <v>250024</v>
      </c>
      <c r="B5116" s="8" t="str">
        <f>"2561406012209"</f>
        <v>2561406012209</v>
      </c>
      <c r="C5116" s="8" t="s">
        <v>12</v>
      </c>
      <c r="D5116" s="9">
        <v>0</v>
      </c>
      <c r="E5116" s="8">
        <v>118</v>
      </c>
    </row>
    <row r="5117" s="3" customFormat="1" ht="18.75" spans="1:5">
      <c r="A5117" s="8" t="str">
        <f t="shared" si="90"/>
        <v>250024</v>
      </c>
      <c r="B5117" s="8" t="str">
        <f>"2561406012211"</f>
        <v>2561406012211</v>
      </c>
      <c r="C5117" s="8" t="s">
        <v>12</v>
      </c>
      <c r="D5117" s="9">
        <v>0</v>
      </c>
      <c r="E5117" s="8">
        <v>118</v>
      </c>
    </row>
    <row r="5118" s="3" customFormat="1" ht="18.75" spans="1:5">
      <c r="A5118" s="8" t="str">
        <f t="shared" si="90"/>
        <v>250024</v>
      </c>
      <c r="B5118" s="8" t="str">
        <f>"2561406012212"</f>
        <v>2561406012212</v>
      </c>
      <c r="C5118" s="8" t="s">
        <v>12</v>
      </c>
      <c r="D5118" s="9">
        <v>0</v>
      </c>
      <c r="E5118" s="8">
        <v>118</v>
      </c>
    </row>
    <row r="5119" s="3" customFormat="1" ht="18.75" spans="1:5">
      <c r="A5119" s="8" t="str">
        <f t="shared" si="90"/>
        <v>250024</v>
      </c>
      <c r="B5119" s="8" t="str">
        <f>"2561406012213"</f>
        <v>2561406012213</v>
      </c>
      <c r="C5119" s="8" t="s">
        <v>12</v>
      </c>
      <c r="D5119" s="9">
        <v>0</v>
      </c>
      <c r="E5119" s="8">
        <v>118</v>
      </c>
    </row>
    <row r="5120" s="3" customFormat="1" ht="18.75" spans="1:5">
      <c r="A5120" s="8" t="str">
        <f t="shared" si="90"/>
        <v>250024</v>
      </c>
      <c r="B5120" s="8" t="str">
        <f>"2561406012214"</f>
        <v>2561406012214</v>
      </c>
      <c r="C5120" s="8" t="s">
        <v>12</v>
      </c>
      <c r="D5120" s="9">
        <v>0</v>
      </c>
      <c r="E5120" s="8">
        <v>118</v>
      </c>
    </row>
    <row r="5121" s="3" customFormat="1" ht="18.75" spans="1:5">
      <c r="A5121" s="8" t="str">
        <f t="shared" si="90"/>
        <v>250024</v>
      </c>
      <c r="B5121" s="8" t="str">
        <f>"2561406012215"</f>
        <v>2561406012215</v>
      </c>
      <c r="C5121" s="8" t="s">
        <v>12</v>
      </c>
      <c r="D5121" s="9">
        <v>0</v>
      </c>
      <c r="E5121" s="8">
        <v>118</v>
      </c>
    </row>
    <row r="5122" s="3" customFormat="1" ht="18.75" spans="1:5">
      <c r="A5122" s="8" t="str">
        <f t="shared" si="90"/>
        <v>250024</v>
      </c>
      <c r="B5122" s="8" t="str">
        <f>"2561406012216"</f>
        <v>2561406012216</v>
      </c>
      <c r="C5122" s="8" t="s">
        <v>12</v>
      </c>
      <c r="D5122" s="9">
        <v>0</v>
      </c>
      <c r="E5122" s="8">
        <v>118</v>
      </c>
    </row>
    <row r="5123" s="3" customFormat="1" ht="18.75" spans="1:5">
      <c r="A5123" s="8" t="str">
        <f t="shared" si="90"/>
        <v>250024</v>
      </c>
      <c r="B5123" s="8" t="str">
        <f>"2561406012217"</f>
        <v>2561406012217</v>
      </c>
      <c r="C5123" s="8" t="s">
        <v>12</v>
      </c>
      <c r="D5123" s="9">
        <v>0</v>
      </c>
      <c r="E5123" s="8">
        <v>118</v>
      </c>
    </row>
    <row r="5124" s="3" customFormat="1" ht="18.75" spans="1:5">
      <c r="A5124" s="8" t="str">
        <f t="shared" si="90"/>
        <v>250024</v>
      </c>
      <c r="B5124" s="8" t="str">
        <f>"2561406012219"</f>
        <v>2561406012219</v>
      </c>
      <c r="C5124" s="8" t="s">
        <v>12</v>
      </c>
      <c r="D5124" s="9">
        <v>0</v>
      </c>
      <c r="E5124" s="8">
        <v>118</v>
      </c>
    </row>
    <row r="5125" s="3" customFormat="1" ht="18.75" spans="1:5">
      <c r="A5125" s="8" t="str">
        <f t="shared" si="90"/>
        <v>250024</v>
      </c>
      <c r="B5125" s="8" t="str">
        <f>"2561406012220"</f>
        <v>2561406012220</v>
      </c>
      <c r="C5125" s="8" t="s">
        <v>12</v>
      </c>
      <c r="D5125" s="9">
        <v>0</v>
      </c>
      <c r="E5125" s="8">
        <v>118</v>
      </c>
    </row>
    <row r="5126" s="3" customFormat="1" ht="18.75" spans="1:5">
      <c r="A5126" s="8" t="str">
        <f t="shared" si="90"/>
        <v>250024</v>
      </c>
      <c r="B5126" s="8" t="str">
        <f>"2561406012222"</f>
        <v>2561406012222</v>
      </c>
      <c r="C5126" s="8" t="s">
        <v>12</v>
      </c>
      <c r="D5126" s="9">
        <v>0</v>
      </c>
      <c r="E5126" s="8">
        <v>118</v>
      </c>
    </row>
    <row r="5127" s="3" customFormat="1" ht="18.75" spans="1:5">
      <c r="A5127" s="8" t="str">
        <f t="shared" si="90"/>
        <v>250024</v>
      </c>
      <c r="B5127" s="8" t="str">
        <f>"2561406012223"</f>
        <v>2561406012223</v>
      </c>
      <c r="C5127" s="8" t="s">
        <v>12</v>
      </c>
      <c r="D5127" s="9">
        <v>0</v>
      </c>
      <c r="E5127" s="8">
        <v>118</v>
      </c>
    </row>
    <row r="5128" s="3" customFormat="1" ht="18.75" spans="1:5">
      <c r="A5128" s="8" t="str">
        <f t="shared" si="90"/>
        <v>250024</v>
      </c>
      <c r="B5128" s="8" t="str">
        <f>"2561406012225"</f>
        <v>2561406012225</v>
      </c>
      <c r="C5128" s="8" t="s">
        <v>12</v>
      </c>
      <c r="D5128" s="9">
        <v>0</v>
      </c>
      <c r="E5128" s="8">
        <v>118</v>
      </c>
    </row>
    <row r="5129" s="3" customFormat="1" ht="18.75" spans="1:5">
      <c r="A5129" s="8" t="str">
        <f t="shared" si="90"/>
        <v>250024</v>
      </c>
      <c r="B5129" s="8" t="str">
        <f>"2561406012226"</f>
        <v>2561406012226</v>
      </c>
      <c r="C5129" s="8" t="s">
        <v>12</v>
      </c>
      <c r="D5129" s="9">
        <v>0</v>
      </c>
      <c r="E5129" s="8">
        <v>118</v>
      </c>
    </row>
    <row r="5130" s="3" customFormat="1" ht="18.75" spans="1:5">
      <c r="A5130" s="8" t="str">
        <f t="shared" si="90"/>
        <v>250024</v>
      </c>
      <c r="B5130" s="8" t="str">
        <f>"2561406012227"</f>
        <v>2561406012227</v>
      </c>
      <c r="C5130" s="8" t="s">
        <v>12</v>
      </c>
      <c r="D5130" s="9">
        <v>0</v>
      </c>
      <c r="E5130" s="8">
        <v>118</v>
      </c>
    </row>
    <row r="5131" s="3" customFormat="1" ht="18.75" spans="1:5">
      <c r="A5131" s="8" t="str">
        <f t="shared" si="90"/>
        <v>250024</v>
      </c>
      <c r="B5131" s="8" t="str">
        <f>"2561406012228"</f>
        <v>2561406012228</v>
      </c>
      <c r="C5131" s="8" t="s">
        <v>12</v>
      </c>
      <c r="D5131" s="9">
        <v>0</v>
      </c>
      <c r="E5131" s="8">
        <v>118</v>
      </c>
    </row>
    <row r="5132" s="3" customFormat="1" ht="18.75" spans="1:5">
      <c r="A5132" s="8" t="str">
        <f t="shared" si="90"/>
        <v>250024</v>
      </c>
      <c r="B5132" s="8" t="str">
        <f>"2561406012229"</f>
        <v>2561406012229</v>
      </c>
      <c r="C5132" s="8" t="s">
        <v>12</v>
      </c>
      <c r="D5132" s="9">
        <v>0</v>
      </c>
      <c r="E5132" s="8">
        <v>118</v>
      </c>
    </row>
    <row r="5133" s="3" customFormat="1" ht="18.75" spans="1:5">
      <c r="A5133" s="8" t="str">
        <f t="shared" si="90"/>
        <v>250024</v>
      </c>
      <c r="B5133" s="8" t="str">
        <f>"2561406012230"</f>
        <v>2561406012230</v>
      </c>
      <c r="C5133" s="8" t="s">
        <v>12</v>
      </c>
      <c r="D5133" s="9">
        <v>0</v>
      </c>
      <c r="E5133" s="8">
        <v>118</v>
      </c>
    </row>
    <row r="5134" s="3" customFormat="1" ht="18.75" spans="1:5">
      <c r="A5134" s="8" t="str">
        <f t="shared" si="90"/>
        <v>250024</v>
      </c>
      <c r="B5134" s="8" t="str">
        <f>"2561406012301"</f>
        <v>2561406012301</v>
      </c>
      <c r="C5134" s="8" t="s">
        <v>12</v>
      </c>
      <c r="D5134" s="9">
        <v>0</v>
      </c>
      <c r="E5134" s="8">
        <v>118</v>
      </c>
    </row>
    <row r="5135" s="3" customFormat="1" ht="18.75" spans="1:5">
      <c r="A5135" s="8" t="str">
        <f t="shared" si="90"/>
        <v>250024</v>
      </c>
      <c r="B5135" s="8" t="str">
        <f>"2561406012302"</f>
        <v>2561406012302</v>
      </c>
      <c r="C5135" s="8" t="s">
        <v>12</v>
      </c>
      <c r="D5135" s="9">
        <v>0</v>
      </c>
      <c r="E5135" s="8">
        <v>118</v>
      </c>
    </row>
    <row r="5136" s="3" customFormat="1" ht="18.75" spans="1:5">
      <c r="A5136" s="8" t="str">
        <f t="shared" si="90"/>
        <v>250024</v>
      </c>
      <c r="B5136" s="8" t="str">
        <f>"2561406012303"</f>
        <v>2561406012303</v>
      </c>
      <c r="C5136" s="8" t="s">
        <v>12</v>
      </c>
      <c r="D5136" s="9">
        <v>0</v>
      </c>
      <c r="E5136" s="8">
        <v>118</v>
      </c>
    </row>
    <row r="5137" s="3" customFormat="1" ht="18.75" spans="1:5">
      <c r="A5137" s="8" t="str">
        <f t="shared" si="90"/>
        <v>250024</v>
      </c>
      <c r="B5137" s="8" t="str">
        <f>"2561406012304"</f>
        <v>2561406012304</v>
      </c>
      <c r="C5137" s="8" t="s">
        <v>12</v>
      </c>
      <c r="D5137" s="9">
        <v>0</v>
      </c>
      <c r="E5137" s="8">
        <v>118</v>
      </c>
    </row>
    <row r="5138" s="3" customFormat="1" ht="18.75" spans="1:5">
      <c r="A5138" s="8" t="str">
        <f t="shared" si="90"/>
        <v>250024</v>
      </c>
      <c r="B5138" s="8" t="str">
        <f>"2561406012305"</f>
        <v>2561406012305</v>
      </c>
      <c r="C5138" s="8" t="s">
        <v>12</v>
      </c>
      <c r="D5138" s="9">
        <v>0</v>
      </c>
      <c r="E5138" s="8">
        <v>118</v>
      </c>
    </row>
    <row r="5139" s="3" customFormat="1" ht="18.75" spans="1:5">
      <c r="A5139" s="8" t="str">
        <f t="shared" si="90"/>
        <v>250024</v>
      </c>
      <c r="B5139" s="8" t="str">
        <f>"2561406012306"</f>
        <v>2561406012306</v>
      </c>
      <c r="C5139" s="8" t="s">
        <v>12</v>
      </c>
      <c r="D5139" s="9">
        <v>0</v>
      </c>
      <c r="E5139" s="8">
        <v>118</v>
      </c>
    </row>
    <row r="5140" s="3" customFormat="1" ht="18.75" spans="1:5">
      <c r="A5140" s="8" t="str">
        <f t="shared" si="90"/>
        <v>250024</v>
      </c>
      <c r="B5140" s="8" t="str">
        <f>"2561406012307"</f>
        <v>2561406012307</v>
      </c>
      <c r="C5140" s="8" t="s">
        <v>12</v>
      </c>
      <c r="D5140" s="9">
        <v>0</v>
      </c>
      <c r="E5140" s="8">
        <v>118</v>
      </c>
    </row>
    <row r="5141" s="3" customFormat="1" ht="18.75" spans="1:5">
      <c r="A5141" s="8" t="str">
        <f t="shared" si="90"/>
        <v>250024</v>
      </c>
      <c r="B5141" s="8" t="str">
        <f>"2561406012309"</f>
        <v>2561406012309</v>
      </c>
      <c r="C5141" s="8" t="s">
        <v>12</v>
      </c>
      <c r="D5141" s="9">
        <v>0</v>
      </c>
      <c r="E5141" s="8">
        <v>118</v>
      </c>
    </row>
    <row r="5142" s="3" customFormat="1" ht="18.75" spans="1:5">
      <c r="A5142" s="8" t="str">
        <f t="shared" si="90"/>
        <v>250024</v>
      </c>
      <c r="B5142" s="8" t="str">
        <f>"2561406012313"</f>
        <v>2561406012313</v>
      </c>
      <c r="C5142" s="8" t="s">
        <v>12</v>
      </c>
      <c r="D5142" s="9">
        <v>0</v>
      </c>
      <c r="E5142" s="8">
        <v>118</v>
      </c>
    </row>
    <row r="5143" s="3" customFormat="1" ht="18.75" spans="1:5">
      <c r="A5143" s="8" t="str">
        <f t="shared" si="90"/>
        <v>250024</v>
      </c>
      <c r="B5143" s="8" t="str">
        <f>"2561406012315"</f>
        <v>2561406012315</v>
      </c>
      <c r="C5143" s="8" t="s">
        <v>12</v>
      </c>
      <c r="D5143" s="9">
        <v>0</v>
      </c>
      <c r="E5143" s="8">
        <v>118</v>
      </c>
    </row>
    <row r="5144" s="3" customFormat="1" ht="18.75" spans="1:5">
      <c r="A5144" s="8" t="str">
        <f t="shared" si="90"/>
        <v>250024</v>
      </c>
      <c r="B5144" s="8" t="str">
        <f>"2561406012317"</f>
        <v>2561406012317</v>
      </c>
      <c r="C5144" s="8" t="s">
        <v>12</v>
      </c>
      <c r="D5144" s="9">
        <v>0</v>
      </c>
      <c r="E5144" s="8">
        <v>118</v>
      </c>
    </row>
    <row r="5145" s="3" customFormat="1" ht="18.75" spans="1:5">
      <c r="A5145" s="8" t="str">
        <f t="shared" si="90"/>
        <v>250024</v>
      </c>
      <c r="B5145" s="8" t="str">
        <f>"2561406012318"</f>
        <v>2561406012318</v>
      </c>
      <c r="C5145" s="8" t="s">
        <v>12</v>
      </c>
      <c r="D5145" s="9">
        <v>0</v>
      </c>
      <c r="E5145" s="8">
        <v>118</v>
      </c>
    </row>
    <row r="5146" s="3" customFormat="1" ht="18.75" spans="1:5">
      <c r="A5146" s="8" t="str">
        <f t="shared" si="90"/>
        <v>250024</v>
      </c>
      <c r="B5146" s="8" t="str">
        <f>"2561406012319"</f>
        <v>2561406012319</v>
      </c>
      <c r="C5146" s="8" t="s">
        <v>12</v>
      </c>
      <c r="D5146" s="9">
        <v>0</v>
      </c>
      <c r="E5146" s="8">
        <v>118</v>
      </c>
    </row>
    <row r="5147" s="3" customFormat="1" ht="18.75" spans="1:5">
      <c r="A5147" s="8" t="str">
        <f t="shared" si="90"/>
        <v>250024</v>
      </c>
      <c r="B5147" s="8" t="str">
        <f>"2561406012320"</f>
        <v>2561406012320</v>
      </c>
      <c r="C5147" s="8" t="s">
        <v>12</v>
      </c>
      <c r="D5147" s="9">
        <v>0</v>
      </c>
      <c r="E5147" s="8">
        <v>118</v>
      </c>
    </row>
    <row r="5148" s="3" customFormat="1" ht="18.75" spans="1:5">
      <c r="A5148" s="8" t="str">
        <f t="shared" si="90"/>
        <v>250024</v>
      </c>
      <c r="B5148" s="8" t="str">
        <f>"2561406012321"</f>
        <v>2561406012321</v>
      </c>
      <c r="C5148" s="8" t="s">
        <v>12</v>
      </c>
      <c r="D5148" s="9">
        <v>0</v>
      </c>
      <c r="E5148" s="8">
        <v>118</v>
      </c>
    </row>
    <row r="5149" s="3" customFormat="1" ht="18.75" spans="1:5">
      <c r="A5149" s="8" t="str">
        <f t="shared" si="90"/>
        <v>250024</v>
      </c>
      <c r="B5149" s="8" t="str">
        <f>"2561406012322"</f>
        <v>2561406012322</v>
      </c>
      <c r="C5149" s="8" t="s">
        <v>12</v>
      </c>
      <c r="D5149" s="9">
        <v>0</v>
      </c>
      <c r="E5149" s="8">
        <v>118</v>
      </c>
    </row>
    <row r="5150" s="3" customFormat="1" ht="18.75" spans="1:5">
      <c r="A5150" s="8" t="str">
        <f t="shared" si="90"/>
        <v>250024</v>
      </c>
      <c r="B5150" s="8" t="str">
        <f>"2561406012326"</f>
        <v>2561406012326</v>
      </c>
      <c r="C5150" s="8" t="s">
        <v>12</v>
      </c>
      <c r="D5150" s="9">
        <v>0</v>
      </c>
      <c r="E5150" s="8">
        <v>118</v>
      </c>
    </row>
    <row r="5151" s="3" customFormat="1" ht="18.75" spans="1:5">
      <c r="A5151" s="8" t="str">
        <f t="shared" si="90"/>
        <v>250024</v>
      </c>
      <c r="B5151" s="8" t="str">
        <f>"2561406012328"</f>
        <v>2561406012328</v>
      </c>
      <c r="C5151" s="8" t="s">
        <v>12</v>
      </c>
      <c r="D5151" s="9">
        <v>0</v>
      </c>
      <c r="E5151" s="8">
        <v>118</v>
      </c>
    </row>
    <row r="5152" s="3" customFormat="1" ht="18.75" spans="1:5">
      <c r="A5152" s="8" t="str">
        <f t="shared" si="90"/>
        <v>250024</v>
      </c>
      <c r="B5152" s="8" t="str">
        <f>"2561406012330"</f>
        <v>2561406012330</v>
      </c>
      <c r="C5152" s="8" t="s">
        <v>12</v>
      </c>
      <c r="D5152" s="9">
        <v>0</v>
      </c>
      <c r="E5152" s="8">
        <v>118</v>
      </c>
    </row>
    <row r="5153" s="3" customFormat="1" ht="18.75" spans="1:5">
      <c r="A5153" s="8" t="str">
        <f t="shared" si="90"/>
        <v>250024</v>
      </c>
      <c r="B5153" s="8" t="str">
        <f>"2561406012402"</f>
        <v>2561406012402</v>
      </c>
      <c r="C5153" s="8" t="s">
        <v>12</v>
      </c>
      <c r="D5153" s="9">
        <v>0</v>
      </c>
      <c r="E5153" s="8">
        <v>118</v>
      </c>
    </row>
    <row r="5154" s="3" customFormat="1" ht="18.75" spans="1:5">
      <c r="A5154" s="8" t="str">
        <f t="shared" si="90"/>
        <v>250024</v>
      </c>
      <c r="B5154" s="8" t="str">
        <f>"2561406012403"</f>
        <v>2561406012403</v>
      </c>
      <c r="C5154" s="8" t="s">
        <v>12</v>
      </c>
      <c r="D5154" s="9">
        <v>0</v>
      </c>
      <c r="E5154" s="8">
        <v>118</v>
      </c>
    </row>
    <row r="5155" s="3" customFormat="1" ht="18.75" spans="1:5">
      <c r="A5155" s="8" t="str">
        <f t="shared" ref="A5155:A5192" si="91">"250024"</f>
        <v>250024</v>
      </c>
      <c r="B5155" s="8" t="str">
        <f>"2561406012406"</f>
        <v>2561406012406</v>
      </c>
      <c r="C5155" s="8" t="s">
        <v>12</v>
      </c>
      <c r="D5155" s="9">
        <v>0</v>
      </c>
      <c r="E5155" s="8">
        <v>118</v>
      </c>
    </row>
    <row r="5156" s="3" customFormat="1" ht="18.75" spans="1:5">
      <c r="A5156" s="8" t="str">
        <f t="shared" si="91"/>
        <v>250024</v>
      </c>
      <c r="B5156" s="8" t="str">
        <f>"2561406012407"</f>
        <v>2561406012407</v>
      </c>
      <c r="C5156" s="8" t="s">
        <v>12</v>
      </c>
      <c r="D5156" s="9">
        <v>0</v>
      </c>
      <c r="E5156" s="8">
        <v>118</v>
      </c>
    </row>
    <row r="5157" s="3" customFormat="1" ht="18.75" spans="1:5">
      <c r="A5157" s="8" t="str">
        <f t="shared" si="91"/>
        <v>250024</v>
      </c>
      <c r="B5157" s="8" t="str">
        <f>"2561406012408"</f>
        <v>2561406012408</v>
      </c>
      <c r="C5157" s="8" t="s">
        <v>12</v>
      </c>
      <c r="D5157" s="9">
        <v>0</v>
      </c>
      <c r="E5157" s="8">
        <v>118</v>
      </c>
    </row>
    <row r="5158" s="3" customFormat="1" ht="18.75" spans="1:5">
      <c r="A5158" s="8" t="str">
        <f t="shared" si="91"/>
        <v>250024</v>
      </c>
      <c r="B5158" s="8" t="str">
        <f>"2561406012410"</f>
        <v>2561406012410</v>
      </c>
      <c r="C5158" s="8" t="s">
        <v>12</v>
      </c>
      <c r="D5158" s="9">
        <v>0</v>
      </c>
      <c r="E5158" s="8">
        <v>118</v>
      </c>
    </row>
    <row r="5159" s="3" customFormat="1" ht="18.75" spans="1:5">
      <c r="A5159" s="8" t="str">
        <f t="shared" si="91"/>
        <v>250024</v>
      </c>
      <c r="B5159" s="8" t="str">
        <f>"2561406012411"</f>
        <v>2561406012411</v>
      </c>
      <c r="C5159" s="8" t="s">
        <v>12</v>
      </c>
      <c r="D5159" s="9">
        <v>0</v>
      </c>
      <c r="E5159" s="8">
        <v>118</v>
      </c>
    </row>
    <row r="5160" s="3" customFormat="1" ht="18.75" spans="1:5">
      <c r="A5160" s="8" t="str">
        <f t="shared" si="91"/>
        <v>250024</v>
      </c>
      <c r="B5160" s="8" t="str">
        <f>"2561406012412"</f>
        <v>2561406012412</v>
      </c>
      <c r="C5160" s="8" t="s">
        <v>12</v>
      </c>
      <c r="D5160" s="9">
        <v>0</v>
      </c>
      <c r="E5160" s="8">
        <v>118</v>
      </c>
    </row>
    <row r="5161" s="3" customFormat="1" ht="18.75" spans="1:5">
      <c r="A5161" s="8" t="str">
        <f t="shared" si="91"/>
        <v>250024</v>
      </c>
      <c r="B5161" s="8" t="str">
        <f>"2561406012416"</f>
        <v>2561406012416</v>
      </c>
      <c r="C5161" s="8" t="s">
        <v>12</v>
      </c>
      <c r="D5161" s="9">
        <v>0</v>
      </c>
      <c r="E5161" s="8">
        <v>118</v>
      </c>
    </row>
    <row r="5162" s="3" customFormat="1" ht="18.75" spans="1:5">
      <c r="A5162" s="8" t="str">
        <f t="shared" si="91"/>
        <v>250024</v>
      </c>
      <c r="B5162" s="8" t="str">
        <f>"2561406012417"</f>
        <v>2561406012417</v>
      </c>
      <c r="C5162" s="8" t="s">
        <v>12</v>
      </c>
      <c r="D5162" s="9">
        <v>0</v>
      </c>
      <c r="E5162" s="8">
        <v>118</v>
      </c>
    </row>
    <row r="5163" s="3" customFormat="1" ht="18.75" spans="1:5">
      <c r="A5163" s="8" t="str">
        <f t="shared" si="91"/>
        <v>250024</v>
      </c>
      <c r="B5163" s="8" t="str">
        <f>"2561406012419"</f>
        <v>2561406012419</v>
      </c>
      <c r="C5163" s="8" t="s">
        <v>12</v>
      </c>
      <c r="D5163" s="9">
        <v>0</v>
      </c>
      <c r="E5163" s="8">
        <v>118</v>
      </c>
    </row>
    <row r="5164" s="3" customFormat="1" ht="18.75" spans="1:5">
      <c r="A5164" s="8" t="str">
        <f t="shared" si="91"/>
        <v>250024</v>
      </c>
      <c r="B5164" s="8" t="str">
        <f>"2561406012420"</f>
        <v>2561406012420</v>
      </c>
      <c r="C5164" s="8" t="s">
        <v>12</v>
      </c>
      <c r="D5164" s="9">
        <v>0</v>
      </c>
      <c r="E5164" s="8">
        <v>118</v>
      </c>
    </row>
    <row r="5165" s="3" customFormat="1" ht="18.75" spans="1:5">
      <c r="A5165" s="8" t="str">
        <f t="shared" si="91"/>
        <v>250024</v>
      </c>
      <c r="B5165" s="8" t="str">
        <f>"2561406012422"</f>
        <v>2561406012422</v>
      </c>
      <c r="C5165" s="8" t="s">
        <v>12</v>
      </c>
      <c r="D5165" s="9">
        <v>0</v>
      </c>
      <c r="E5165" s="8">
        <v>118</v>
      </c>
    </row>
    <row r="5166" s="3" customFormat="1" ht="18.75" spans="1:5">
      <c r="A5166" s="8" t="str">
        <f t="shared" si="91"/>
        <v>250024</v>
      </c>
      <c r="B5166" s="8" t="str">
        <f>"2561406012423"</f>
        <v>2561406012423</v>
      </c>
      <c r="C5166" s="8" t="s">
        <v>12</v>
      </c>
      <c r="D5166" s="9">
        <v>0</v>
      </c>
      <c r="E5166" s="8">
        <v>118</v>
      </c>
    </row>
    <row r="5167" s="3" customFormat="1" ht="18.75" spans="1:5">
      <c r="A5167" s="8" t="str">
        <f t="shared" si="91"/>
        <v>250024</v>
      </c>
      <c r="B5167" s="8" t="str">
        <f>"2561406012425"</f>
        <v>2561406012425</v>
      </c>
      <c r="C5167" s="8" t="s">
        <v>12</v>
      </c>
      <c r="D5167" s="9">
        <v>0</v>
      </c>
      <c r="E5167" s="8">
        <v>118</v>
      </c>
    </row>
    <row r="5168" s="3" customFormat="1" ht="18.75" spans="1:5">
      <c r="A5168" s="8" t="str">
        <f t="shared" si="91"/>
        <v>250024</v>
      </c>
      <c r="B5168" s="8" t="str">
        <f>"2561406012426"</f>
        <v>2561406012426</v>
      </c>
      <c r="C5168" s="8" t="s">
        <v>12</v>
      </c>
      <c r="D5168" s="9">
        <v>0</v>
      </c>
      <c r="E5168" s="8">
        <v>118</v>
      </c>
    </row>
    <row r="5169" s="3" customFormat="1" ht="18.75" spans="1:5">
      <c r="A5169" s="8" t="str">
        <f t="shared" si="91"/>
        <v>250024</v>
      </c>
      <c r="B5169" s="8" t="str">
        <f>"2561406012427"</f>
        <v>2561406012427</v>
      </c>
      <c r="C5169" s="8" t="s">
        <v>12</v>
      </c>
      <c r="D5169" s="9">
        <v>0</v>
      </c>
      <c r="E5169" s="8">
        <v>118</v>
      </c>
    </row>
    <row r="5170" s="3" customFormat="1" ht="18.75" spans="1:5">
      <c r="A5170" s="8" t="str">
        <f t="shared" si="91"/>
        <v>250024</v>
      </c>
      <c r="B5170" s="8" t="str">
        <f>"2561406012428"</f>
        <v>2561406012428</v>
      </c>
      <c r="C5170" s="8" t="s">
        <v>12</v>
      </c>
      <c r="D5170" s="9">
        <v>0</v>
      </c>
      <c r="E5170" s="8">
        <v>118</v>
      </c>
    </row>
    <row r="5171" s="3" customFormat="1" ht="18.75" spans="1:5">
      <c r="A5171" s="8" t="str">
        <f t="shared" si="91"/>
        <v>250024</v>
      </c>
      <c r="B5171" s="8" t="str">
        <f>"2561406012429"</f>
        <v>2561406012429</v>
      </c>
      <c r="C5171" s="8" t="s">
        <v>12</v>
      </c>
      <c r="D5171" s="9">
        <v>0</v>
      </c>
      <c r="E5171" s="8">
        <v>118</v>
      </c>
    </row>
    <row r="5172" s="3" customFormat="1" ht="18.75" spans="1:5">
      <c r="A5172" s="8" t="str">
        <f t="shared" si="91"/>
        <v>250024</v>
      </c>
      <c r="B5172" s="8" t="str">
        <f>"2561406012501"</f>
        <v>2561406012501</v>
      </c>
      <c r="C5172" s="8" t="s">
        <v>12</v>
      </c>
      <c r="D5172" s="9">
        <v>0</v>
      </c>
      <c r="E5172" s="8">
        <v>118</v>
      </c>
    </row>
    <row r="5173" s="3" customFormat="1" ht="18.75" spans="1:5">
      <c r="A5173" s="8" t="str">
        <f t="shared" si="91"/>
        <v>250024</v>
      </c>
      <c r="B5173" s="8" t="str">
        <f>"2561406012502"</f>
        <v>2561406012502</v>
      </c>
      <c r="C5173" s="8" t="s">
        <v>12</v>
      </c>
      <c r="D5173" s="9">
        <v>0</v>
      </c>
      <c r="E5173" s="8">
        <v>118</v>
      </c>
    </row>
    <row r="5174" s="3" customFormat="1" ht="18.75" spans="1:5">
      <c r="A5174" s="8" t="str">
        <f t="shared" si="91"/>
        <v>250024</v>
      </c>
      <c r="B5174" s="8" t="str">
        <f>"2561406012503"</f>
        <v>2561406012503</v>
      </c>
      <c r="C5174" s="8" t="s">
        <v>12</v>
      </c>
      <c r="D5174" s="9">
        <v>0</v>
      </c>
      <c r="E5174" s="8">
        <v>118</v>
      </c>
    </row>
    <row r="5175" s="3" customFormat="1" ht="18.75" spans="1:5">
      <c r="A5175" s="8" t="str">
        <f t="shared" si="91"/>
        <v>250024</v>
      </c>
      <c r="B5175" s="8" t="str">
        <f>"2561406012505"</f>
        <v>2561406012505</v>
      </c>
      <c r="C5175" s="8" t="s">
        <v>12</v>
      </c>
      <c r="D5175" s="9">
        <v>0</v>
      </c>
      <c r="E5175" s="8">
        <v>118</v>
      </c>
    </row>
    <row r="5176" s="3" customFormat="1" ht="18.75" spans="1:5">
      <c r="A5176" s="8" t="str">
        <f t="shared" si="91"/>
        <v>250024</v>
      </c>
      <c r="B5176" s="8" t="str">
        <f>"2561406012506"</f>
        <v>2561406012506</v>
      </c>
      <c r="C5176" s="8" t="s">
        <v>12</v>
      </c>
      <c r="D5176" s="9">
        <v>0</v>
      </c>
      <c r="E5176" s="8">
        <v>118</v>
      </c>
    </row>
    <row r="5177" s="3" customFormat="1" ht="18.75" spans="1:5">
      <c r="A5177" s="8" t="str">
        <f t="shared" si="91"/>
        <v>250024</v>
      </c>
      <c r="B5177" s="8" t="str">
        <f>"2561406012507"</f>
        <v>2561406012507</v>
      </c>
      <c r="C5177" s="8" t="s">
        <v>12</v>
      </c>
      <c r="D5177" s="9">
        <v>0</v>
      </c>
      <c r="E5177" s="8">
        <v>118</v>
      </c>
    </row>
    <row r="5178" s="3" customFormat="1" ht="18.75" spans="1:5">
      <c r="A5178" s="8" t="str">
        <f t="shared" si="91"/>
        <v>250024</v>
      </c>
      <c r="B5178" s="8" t="str">
        <f>"2561406012508"</f>
        <v>2561406012508</v>
      </c>
      <c r="C5178" s="8" t="s">
        <v>12</v>
      </c>
      <c r="D5178" s="9">
        <v>0</v>
      </c>
      <c r="E5178" s="8">
        <v>118</v>
      </c>
    </row>
    <row r="5179" s="3" customFormat="1" ht="18.75" spans="1:5">
      <c r="A5179" s="8" t="str">
        <f t="shared" si="91"/>
        <v>250024</v>
      </c>
      <c r="B5179" s="8" t="str">
        <f>"2561406012510"</f>
        <v>2561406012510</v>
      </c>
      <c r="C5179" s="8" t="s">
        <v>12</v>
      </c>
      <c r="D5179" s="9">
        <v>0</v>
      </c>
      <c r="E5179" s="8">
        <v>118</v>
      </c>
    </row>
    <row r="5180" s="3" customFormat="1" ht="18.75" spans="1:5">
      <c r="A5180" s="8" t="str">
        <f t="shared" si="91"/>
        <v>250024</v>
      </c>
      <c r="B5180" s="8" t="str">
        <f>"2561406012512"</f>
        <v>2561406012512</v>
      </c>
      <c r="C5180" s="8" t="s">
        <v>12</v>
      </c>
      <c r="D5180" s="9">
        <v>0</v>
      </c>
      <c r="E5180" s="8">
        <v>118</v>
      </c>
    </row>
    <row r="5181" s="3" customFormat="1" ht="18.75" spans="1:5">
      <c r="A5181" s="8" t="str">
        <f t="shared" si="91"/>
        <v>250024</v>
      </c>
      <c r="B5181" s="8" t="str">
        <f>"2561406012513"</f>
        <v>2561406012513</v>
      </c>
      <c r="C5181" s="8" t="s">
        <v>12</v>
      </c>
      <c r="D5181" s="9">
        <v>0</v>
      </c>
      <c r="E5181" s="8">
        <v>118</v>
      </c>
    </row>
    <row r="5182" s="3" customFormat="1" ht="18.75" spans="1:5">
      <c r="A5182" s="8" t="str">
        <f t="shared" si="91"/>
        <v>250024</v>
      </c>
      <c r="B5182" s="8" t="str">
        <f>"2561406012514"</f>
        <v>2561406012514</v>
      </c>
      <c r="C5182" s="8" t="s">
        <v>12</v>
      </c>
      <c r="D5182" s="9">
        <v>0</v>
      </c>
      <c r="E5182" s="8">
        <v>118</v>
      </c>
    </row>
    <row r="5183" s="3" customFormat="1" ht="18.75" spans="1:5">
      <c r="A5183" s="8" t="str">
        <f t="shared" si="91"/>
        <v>250024</v>
      </c>
      <c r="B5183" s="8" t="str">
        <f>"2561406012516"</f>
        <v>2561406012516</v>
      </c>
      <c r="C5183" s="8" t="s">
        <v>12</v>
      </c>
      <c r="D5183" s="9">
        <v>0</v>
      </c>
      <c r="E5183" s="8">
        <v>118</v>
      </c>
    </row>
    <row r="5184" s="3" customFormat="1" ht="18.75" spans="1:5">
      <c r="A5184" s="8" t="str">
        <f t="shared" si="91"/>
        <v>250024</v>
      </c>
      <c r="B5184" s="8" t="str">
        <f>"2561406012517"</f>
        <v>2561406012517</v>
      </c>
      <c r="C5184" s="8" t="s">
        <v>12</v>
      </c>
      <c r="D5184" s="9">
        <v>0</v>
      </c>
      <c r="E5184" s="8">
        <v>118</v>
      </c>
    </row>
    <row r="5185" s="3" customFormat="1" ht="18.75" spans="1:5">
      <c r="A5185" s="8" t="str">
        <f t="shared" si="91"/>
        <v>250024</v>
      </c>
      <c r="B5185" s="8" t="str">
        <f>"2561406012519"</f>
        <v>2561406012519</v>
      </c>
      <c r="C5185" s="8" t="s">
        <v>12</v>
      </c>
      <c r="D5185" s="9">
        <v>0</v>
      </c>
      <c r="E5185" s="8">
        <v>118</v>
      </c>
    </row>
    <row r="5186" s="3" customFormat="1" ht="18.75" spans="1:5">
      <c r="A5186" s="8" t="str">
        <f t="shared" si="91"/>
        <v>250024</v>
      </c>
      <c r="B5186" s="8" t="str">
        <f>"2561406012520"</f>
        <v>2561406012520</v>
      </c>
      <c r="C5186" s="8" t="s">
        <v>12</v>
      </c>
      <c r="D5186" s="9">
        <v>0</v>
      </c>
      <c r="E5186" s="8">
        <v>118</v>
      </c>
    </row>
    <row r="5187" s="3" customFormat="1" ht="18.75" spans="1:5">
      <c r="A5187" s="8" t="str">
        <f t="shared" si="91"/>
        <v>250024</v>
      </c>
      <c r="B5187" s="8" t="str">
        <f>"2561406012521"</f>
        <v>2561406012521</v>
      </c>
      <c r="C5187" s="8" t="s">
        <v>12</v>
      </c>
      <c r="D5187" s="9">
        <v>0</v>
      </c>
      <c r="E5187" s="8">
        <v>118</v>
      </c>
    </row>
    <row r="5188" s="3" customFormat="1" ht="18.75" spans="1:5">
      <c r="A5188" s="8" t="str">
        <f t="shared" si="91"/>
        <v>250024</v>
      </c>
      <c r="B5188" s="8" t="str">
        <f>"2561406012524"</f>
        <v>2561406012524</v>
      </c>
      <c r="C5188" s="8" t="s">
        <v>12</v>
      </c>
      <c r="D5188" s="9">
        <v>0</v>
      </c>
      <c r="E5188" s="8">
        <v>118</v>
      </c>
    </row>
    <row r="5189" s="3" customFormat="1" ht="18.75" spans="1:5">
      <c r="A5189" s="8" t="str">
        <f t="shared" si="91"/>
        <v>250024</v>
      </c>
      <c r="B5189" s="8" t="str">
        <f>"2561406012525"</f>
        <v>2561406012525</v>
      </c>
      <c r="C5189" s="8" t="s">
        <v>12</v>
      </c>
      <c r="D5189" s="9">
        <v>0</v>
      </c>
      <c r="E5189" s="8">
        <v>118</v>
      </c>
    </row>
    <row r="5190" s="3" customFormat="1" ht="18.75" spans="1:5">
      <c r="A5190" s="8" t="str">
        <f t="shared" si="91"/>
        <v>250024</v>
      </c>
      <c r="B5190" s="8" t="str">
        <f>"2561406012527"</f>
        <v>2561406012527</v>
      </c>
      <c r="C5190" s="8" t="s">
        <v>12</v>
      </c>
      <c r="D5190" s="9">
        <v>0</v>
      </c>
      <c r="E5190" s="8">
        <v>118</v>
      </c>
    </row>
    <row r="5191" s="3" customFormat="1" ht="18.75" spans="1:5">
      <c r="A5191" s="8" t="str">
        <f t="shared" si="91"/>
        <v>250024</v>
      </c>
      <c r="B5191" s="8" t="str">
        <f>"2561406012601"</f>
        <v>2561406012601</v>
      </c>
      <c r="C5191" s="8" t="s">
        <v>12</v>
      </c>
      <c r="D5191" s="9">
        <v>0</v>
      </c>
      <c r="E5191" s="8">
        <v>118</v>
      </c>
    </row>
    <row r="5192" s="3" customFormat="1" ht="18.75" spans="1:5">
      <c r="A5192" s="8" t="str">
        <f t="shared" si="91"/>
        <v>250024</v>
      </c>
      <c r="B5192" s="8" t="str">
        <f>"2561406012602"</f>
        <v>2561406012602</v>
      </c>
      <c r="C5192" s="8" t="s">
        <v>12</v>
      </c>
      <c r="D5192" s="9">
        <v>0</v>
      </c>
      <c r="E5192" s="8">
        <v>118</v>
      </c>
    </row>
    <row r="5193" s="3" customFormat="1" ht="18.75" spans="1:5">
      <c r="A5193" s="8" t="str">
        <f t="shared" ref="A5193:A5256" si="92">"250025"</f>
        <v>250025</v>
      </c>
      <c r="B5193" s="8" t="str">
        <f>"2561406013010"</f>
        <v>2561406013010</v>
      </c>
      <c r="C5193" s="8" t="s">
        <v>12</v>
      </c>
      <c r="D5193" s="9">
        <v>74.15</v>
      </c>
      <c r="E5193" s="8">
        <v>1</v>
      </c>
    </row>
    <row r="5194" s="3" customFormat="1" ht="18.75" spans="1:5">
      <c r="A5194" s="8" t="str">
        <f t="shared" si="92"/>
        <v>250025</v>
      </c>
      <c r="B5194" s="8" t="str">
        <f>"2561406012706"</f>
        <v>2561406012706</v>
      </c>
      <c r="C5194" s="8" t="s">
        <v>12</v>
      </c>
      <c r="D5194" s="9">
        <v>72.51</v>
      </c>
      <c r="E5194" s="8">
        <v>2</v>
      </c>
    </row>
    <row r="5195" s="3" customFormat="1" ht="18.75" spans="1:5">
      <c r="A5195" s="8" t="str">
        <f t="shared" si="92"/>
        <v>250025</v>
      </c>
      <c r="B5195" s="8" t="str">
        <f>"2561406013206"</f>
        <v>2561406013206</v>
      </c>
      <c r="C5195" s="8" t="s">
        <v>12</v>
      </c>
      <c r="D5195" s="9">
        <v>71.69</v>
      </c>
      <c r="E5195" s="8">
        <v>3</v>
      </c>
    </row>
    <row r="5196" s="3" customFormat="1" ht="18.75" spans="1:5">
      <c r="A5196" s="8" t="str">
        <f t="shared" si="92"/>
        <v>250025</v>
      </c>
      <c r="B5196" s="8" t="str">
        <f>"2561406013419"</f>
        <v>2561406013419</v>
      </c>
      <c r="C5196" s="8" t="s">
        <v>12</v>
      </c>
      <c r="D5196" s="9">
        <v>71.49</v>
      </c>
      <c r="E5196" s="8">
        <v>4</v>
      </c>
    </row>
    <row r="5197" s="3" customFormat="1" ht="18.75" spans="1:5">
      <c r="A5197" s="8" t="str">
        <f t="shared" si="92"/>
        <v>250025</v>
      </c>
      <c r="B5197" s="8" t="str">
        <f>"2561406013502"</f>
        <v>2561406013502</v>
      </c>
      <c r="C5197" s="8" t="s">
        <v>12</v>
      </c>
      <c r="D5197" s="9">
        <v>71.2</v>
      </c>
      <c r="E5197" s="8">
        <v>5</v>
      </c>
    </row>
    <row r="5198" s="3" customFormat="1" ht="18.75" spans="1:5">
      <c r="A5198" s="8" t="str">
        <f t="shared" si="92"/>
        <v>250025</v>
      </c>
      <c r="B5198" s="8" t="str">
        <f>"2561406013506"</f>
        <v>2561406013506</v>
      </c>
      <c r="C5198" s="8" t="s">
        <v>12</v>
      </c>
      <c r="D5198" s="9">
        <v>69.84</v>
      </c>
      <c r="E5198" s="8">
        <v>6</v>
      </c>
    </row>
    <row r="5199" s="3" customFormat="1" ht="18.75" spans="1:5">
      <c r="A5199" s="8" t="str">
        <f t="shared" si="92"/>
        <v>250025</v>
      </c>
      <c r="B5199" s="8" t="str">
        <f>"2561406013303"</f>
        <v>2561406013303</v>
      </c>
      <c r="C5199" s="8" t="s">
        <v>12</v>
      </c>
      <c r="D5199" s="9">
        <v>68.66</v>
      </c>
      <c r="E5199" s="8">
        <v>7</v>
      </c>
    </row>
    <row r="5200" s="3" customFormat="1" ht="18.75" spans="1:5">
      <c r="A5200" s="8" t="str">
        <f t="shared" si="92"/>
        <v>250025</v>
      </c>
      <c r="B5200" s="8" t="str">
        <f>"2561406013020"</f>
        <v>2561406013020</v>
      </c>
      <c r="C5200" s="8" t="s">
        <v>12</v>
      </c>
      <c r="D5200" s="9">
        <v>68.56</v>
      </c>
      <c r="E5200" s="8">
        <v>8</v>
      </c>
    </row>
    <row r="5201" s="3" customFormat="1" ht="18.75" spans="1:5">
      <c r="A5201" s="8" t="str">
        <f t="shared" si="92"/>
        <v>250025</v>
      </c>
      <c r="B5201" s="8" t="str">
        <f>"2561406012918"</f>
        <v>2561406012918</v>
      </c>
      <c r="C5201" s="8" t="s">
        <v>12</v>
      </c>
      <c r="D5201" s="9">
        <v>68.47</v>
      </c>
      <c r="E5201" s="8">
        <v>9</v>
      </c>
    </row>
    <row r="5202" s="3" customFormat="1" ht="18.75" spans="1:5">
      <c r="A5202" s="8" t="str">
        <f t="shared" si="92"/>
        <v>250025</v>
      </c>
      <c r="B5202" s="8" t="str">
        <f>"2561406012801"</f>
        <v>2561406012801</v>
      </c>
      <c r="C5202" s="8" t="s">
        <v>12</v>
      </c>
      <c r="D5202" s="9">
        <v>68.11</v>
      </c>
      <c r="E5202" s="8">
        <v>10</v>
      </c>
    </row>
    <row r="5203" s="3" customFormat="1" ht="18.75" spans="1:5">
      <c r="A5203" s="8" t="str">
        <f t="shared" si="92"/>
        <v>250025</v>
      </c>
      <c r="B5203" s="8" t="str">
        <f>"2561406013313"</f>
        <v>2561406013313</v>
      </c>
      <c r="C5203" s="8" t="s">
        <v>12</v>
      </c>
      <c r="D5203" s="9">
        <v>67.63</v>
      </c>
      <c r="E5203" s="8">
        <v>11</v>
      </c>
    </row>
    <row r="5204" s="3" customFormat="1" ht="18.75" spans="1:5">
      <c r="A5204" s="8" t="str">
        <f t="shared" si="92"/>
        <v>250025</v>
      </c>
      <c r="B5204" s="8" t="str">
        <f>"2561406013403"</f>
        <v>2561406013403</v>
      </c>
      <c r="C5204" s="8" t="s">
        <v>12</v>
      </c>
      <c r="D5204" s="9">
        <v>67.38</v>
      </c>
      <c r="E5204" s="8">
        <v>12</v>
      </c>
    </row>
    <row r="5205" s="3" customFormat="1" ht="18.75" spans="1:5">
      <c r="A5205" s="8" t="str">
        <f t="shared" si="92"/>
        <v>250025</v>
      </c>
      <c r="B5205" s="8" t="str">
        <f>"2561406013327"</f>
        <v>2561406013327</v>
      </c>
      <c r="C5205" s="8" t="s">
        <v>12</v>
      </c>
      <c r="D5205" s="9">
        <v>67.34</v>
      </c>
      <c r="E5205" s="8">
        <v>13</v>
      </c>
    </row>
    <row r="5206" s="3" customFormat="1" ht="18.75" spans="1:5">
      <c r="A5206" s="8" t="str">
        <f t="shared" si="92"/>
        <v>250025</v>
      </c>
      <c r="B5206" s="8" t="str">
        <f>"2561406012917"</f>
        <v>2561406012917</v>
      </c>
      <c r="C5206" s="8" t="s">
        <v>12</v>
      </c>
      <c r="D5206" s="9">
        <v>67.08</v>
      </c>
      <c r="E5206" s="8">
        <v>14</v>
      </c>
    </row>
    <row r="5207" s="3" customFormat="1" ht="18.75" spans="1:5">
      <c r="A5207" s="8" t="str">
        <f t="shared" si="92"/>
        <v>250025</v>
      </c>
      <c r="B5207" s="8" t="str">
        <f>"2561406013804"</f>
        <v>2561406013804</v>
      </c>
      <c r="C5207" s="8" t="s">
        <v>12</v>
      </c>
      <c r="D5207" s="9">
        <v>66.65</v>
      </c>
      <c r="E5207" s="8">
        <v>15</v>
      </c>
    </row>
    <row r="5208" s="3" customFormat="1" ht="18.75" spans="1:5">
      <c r="A5208" s="8" t="str">
        <f t="shared" si="92"/>
        <v>250025</v>
      </c>
      <c r="B5208" s="8" t="str">
        <f>"2561406013410"</f>
        <v>2561406013410</v>
      </c>
      <c r="C5208" s="8" t="s">
        <v>12</v>
      </c>
      <c r="D5208" s="9">
        <v>66.62</v>
      </c>
      <c r="E5208" s="8">
        <v>16</v>
      </c>
    </row>
    <row r="5209" s="3" customFormat="1" ht="18.75" spans="1:5">
      <c r="A5209" s="8" t="str">
        <f t="shared" si="92"/>
        <v>250025</v>
      </c>
      <c r="B5209" s="8" t="str">
        <f>"2561406013101"</f>
        <v>2561406013101</v>
      </c>
      <c r="C5209" s="8" t="s">
        <v>12</v>
      </c>
      <c r="D5209" s="9">
        <v>66.6</v>
      </c>
      <c r="E5209" s="8">
        <v>17</v>
      </c>
    </row>
    <row r="5210" s="3" customFormat="1" ht="18.75" spans="1:5">
      <c r="A5210" s="8" t="str">
        <f t="shared" si="92"/>
        <v>250025</v>
      </c>
      <c r="B5210" s="8" t="str">
        <f>"2561406012915"</f>
        <v>2561406012915</v>
      </c>
      <c r="C5210" s="8" t="s">
        <v>12</v>
      </c>
      <c r="D5210" s="9">
        <v>66.59</v>
      </c>
      <c r="E5210" s="8">
        <v>18</v>
      </c>
    </row>
    <row r="5211" s="3" customFormat="1" ht="18.75" spans="1:5">
      <c r="A5211" s="8" t="str">
        <f t="shared" si="92"/>
        <v>250025</v>
      </c>
      <c r="B5211" s="8" t="str">
        <f>"2561406012906"</f>
        <v>2561406012906</v>
      </c>
      <c r="C5211" s="8" t="s">
        <v>12</v>
      </c>
      <c r="D5211" s="9">
        <v>66.49</v>
      </c>
      <c r="E5211" s="8">
        <v>19</v>
      </c>
    </row>
    <row r="5212" s="3" customFormat="1" ht="18.75" spans="1:5">
      <c r="A5212" s="8" t="str">
        <f t="shared" si="92"/>
        <v>250025</v>
      </c>
      <c r="B5212" s="8" t="str">
        <f>"2561406013401"</f>
        <v>2561406013401</v>
      </c>
      <c r="C5212" s="8" t="s">
        <v>12</v>
      </c>
      <c r="D5212" s="9">
        <v>66.22</v>
      </c>
      <c r="E5212" s="8">
        <v>20</v>
      </c>
    </row>
    <row r="5213" s="3" customFormat="1" ht="18.75" spans="1:5">
      <c r="A5213" s="8" t="str">
        <f t="shared" si="92"/>
        <v>250025</v>
      </c>
      <c r="B5213" s="8" t="str">
        <f>"2561406012607"</f>
        <v>2561406012607</v>
      </c>
      <c r="C5213" s="8" t="s">
        <v>12</v>
      </c>
      <c r="D5213" s="9">
        <v>65.56</v>
      </c>
      <c r="E5213" s="8">
        <v>21</v>
      </c>
    </row>
    <row r="5214" s="3" customFormat="1" ht="18.75" spans="1:5">
      <c r="A5214" s="8" t="str">
        <f t="shared" si="92"/>
        <v>250025</v>
      </c>
      <c r="B5214" s="8" t="str">
        <f>"2561406013320"</f>
        <v>2561406013320</v>
      </c>
      <c r="C5214" s="8" t="s">
        <v>12</v>
      </c>
      <c r="D5214" s="9">
        <v>65.41</v>
      </c>
      <c r="E5214" s="8">
        <v>22</v>
      </c>
    </row>
    <row r="5215" s="3" customFormat="1" ht="18.75" spans="1:5">
      <c r="A5215" s="8" t="str">
        <f t="shared" si="92"/>
        <v>250025</v>
      </c>
      <c r="B5215" s="8" t="str">
        <f>"2561406012701"</f>
        <v>2561406012701</v>
      </c>
      <c r="C5215" s="8" t="s">
        <v>12</v>
      </c>
      <c r="D5215" s="9">
        <v>65.12</v>
      </c>
      <c r="E5215" s="8">
        <v>23</v>
      </c>
    </row>
    <row r="5216" s="3" customFormat="1" ht="18.75" spans="1:5">
      <c r="A5216" s="8" t="str">
        <f t="shared" si="92"/>
        <v>250025</v>
      </c>
      <c r="B5216" s="8" t="str">
        <f>"2561406013702"</f>
        <v>2561406013702</v>
      </c>
      <c r="C5216" s="8" t="s">
        <v>12</v>
      </c>
      <c r="D5216" s="9">
        <v>65.11</v>
      </c>
      <c r="E5216" s="8">
        <v>24</v>
      </c>
    </row>
    <row r="5217" s="3" customFormat="1" ht="18.75" spans="1:5">
      <c r="A5217" s="8" t="str">
        <f t="shared" si="92"/>
        <v>250025</v>
      </c>
      <c r="B5217" s="8" t="str">
        <f>"2561406012809"</f>
        <v>2561406012809</v>
      </c>
      <c r="C5217" s="8" t="s">
        <v>12</v>
      </c>
      <c r="D5217" s="9">
        <v>64.54</v>
      </c>
      <c r="E5217" s="8">
        <v>25</v>
      </c>
    </row>
    <row r="5218" s="3" customFormat="1" ht="18.75" spans="1:5">
      <c r="A5218" s="8" t="str">
        <f t="shared" si="92"/>
        <v>250025</v>
      </c>
      <c r="B5218" s="8" t="str">
        <f>"2561406013607"</f>
        <v>2561406013607</v>
      </c>
      <c r="C5218" s="8" t="s">
        <v>12</v>
      </c>
      <c r="D5218" s="9">
        <v>64.5</v>
      </c>
      <c r="E5218" s="8">
        <v>26</v>
      </c>
    </row>
    <row r="5219" s="3" customFormat="1" ht="18.75" spans="1:5">
      <c r="A5219" s="8" t="str">
        <f t="shared" si="92"/>
        <v>250025</v>
      </c>
      <c r="B5219" s="8" t="str">
        <f>"2561406013429"</f>
        <v>2561406013429</v>
      </c>
      <c r="C5219" s="8" t="s">
        <v>12</v>
      </c>
      <c r="D5219" s="9">
        <v>64.48</v>
      </c>
      <c r="E5219" s="8">
        <v>27</v>
      </c>
    </row>
    <row r="5220" s="3" customFormat="1" ht="18.75" spans="1:5">
      <c r="A5220" s="8" t="str">
        <f t="shared" si="92"/>
        <v>250025</v>
      </c>
      <c r="B5220" s="8" t="str">
        <f>"2561406013109"</f>
        <v>2561406013109</v>
      </c>
      <c r="C5220" s="8" t="s">
        <v>12</v>
      </c>
      <c r="D5220" s="9">
        <v>64.26</v>
      </c>
      <c r="E5220" s="8">
        <v>28</v>
      </c>
    </row>
    <row r="5221" s="3" customFormat="1" ht="18.75" spans="1:5">
      <c r="A5221" s="8" t="str">
        <f t="shared" si="92"/>
        <v>250025</v>
      </c>
      <c r="B5221" s="8" t="str">
        <f>"2561406013315"</f>
        <v>2561406013315</v>
      </c>
      <c r="C5221" s="8" t="s">
        <v>12</v>
      </c>
      <c r="D5221" s="9">
        <v>64.11</v>
      </c>
      <c r="E5221" s="8">
        <v>29</v>
      </c>
    </row>
    <row r="5222" s="3" customFormat="1" ht="18.75" spans="1:5">
      <c r="A5222" s="8" t="str">
        <f t="shared" si="92"/>
        <v>250025</v>
      </c>
      <c r="B5222" s="8" t="str">
        <f>"2561406012901"</f>
        <v>2561406012901</v>
      </c>
      <c r="C5222" s="8" t="s">
        <v>12</v>
      </c>
      <c r="D5222" s="9">
        <v>63.65</v>
      </c>
      <c r="E5222" s="8">
        <v>30</v>
      </c>
    </row>
    <row r="5223" s="3" customFormat="1" ht="18.75" spans="1:5">
      <c r="A5223" s="8" t="str">
        <f t="shared" si="92"/>
        <v>250025</v>
      </c>
      <c r="B5223" s="8" t="str">
        <f>"2561406013427"</f>
        <v>2561406013427</v>
      </c>
      <c r="C5223" s="8" t="s">
        <v>12</v>
      </c>
      <c r="D5223" s="9">
        <v>63.44</v>
      </c>
      <c r="E5223" s="8">
        <v>31</v>
      </c>
    </row>
    <row r="5224" s="3" customFormat="1" ht="18.75" spans="1:5">
      <c r="A5224" s="8" t="str">
        <f t="shared" si="92"/>
        <v>250025</v>
      </c>
      <c r="B5224" s="8" t="str">
        <f>"2561406012818"</f>
        <v>2561406012818</v>
      </c>
      <c r="C5224" s="8" t="s">
        <v>12</v>
      </c>
      <c r="D5224" s="9">
        <v>63.4</v>
      </c>
      <c r="E5224" s="8">
        <v>32</v>
      </c>
    </row>
    <row r="5225" s="3" customFormat="1" ht="18.75" spans="1:5">
      <c r="A5225" s="8" t="str">
        <f t="shared" si="92"/>
        <v>250025</v>
      </c>
      <c r="B5225" s="8" t="str">
        <f>"2561406013704"</f>
        <v>2561406013704</v>
      </c>
      <c r="C5225" s="8" t="s">
        <v>12</v>
      </c>
      <c r="D5225" s="9">
        <v>63.35</v>
      </c>
      <c r="E5225" s="8">
        <v>33</v>
      </c>
    </row>
    <row r="5226" s="3" customFormat="1" ht="18.75" spans="1:5">
      <c r="A5226" s="8" t="str">
        <f t="shared" si="92"/>
        <v>250025</v>
      </c>
      <c r="B5226" s="8" t="str">
        <f>"2561406013611"</f>
        <v>2561406013611</v>
      </c>
      <c r="C5226" s="8" t="s">
        <v>12</v>
      </c>
      <c r="D5226" s="9">
        <v>63.25</v>
      </c>
      <c r="E5226" s="8">
        <v>34</v>
      </c>
    </row>
    <row r="5227" s="3" customFormat="1" ht="18.75" spans="1:5">
      <c r="A5227" s="8" t="str">
        <f t="shared" si="92"/>
        <v>250025</v>
      </c>
      <c r="B5227" s="8" t="str">
        <f>"2561406013629"</f>
        <v>2561406013629</v>
      </c>
      <c r="C5227" s="8" t="s">
        <v>12</v>
      </c>
      <c r="D5227" s="9">
        <v>63.24</v>
      </c>
      <c r="E5227" s="8">
        <v>35</v>
      </c>
    </row>
    <row r="5228" s="3" customFormat="1" ht="18.75" spans="1:5">
      <c r="A5228" s="8" t="str">
        <f t="shared" si="92"/>
        <v>250025</v>
      </c>
      <c r="B5228" s="8" t="str">
        <f>"2561406012826"</f>
        <v>2561406012826</v>
      </c>
      <c r="C5228" s="8" t="s">
        <v>12</v>
      </c>
      <c r="D5228" s="9">
        <v>63.23</v>
      </c>
      <c r="E5228" s="8">
        <v>36</v>
      </c>
    </row>
    <row r="5229" s="3" customFormat="1" ht="18.75" spans="1:5">
      <c r="A5229" s="8" t="str">
        <f t="shared" si="92"/>
        <v>250025</v>
      </c>
      <c r="B5229" s="8" t="str">
        <f>"2561406013705"</f>
        <v>2561406013705</v>
      </c>
      <c r="C5229" s="8" t="s">
        <v>12</v>
      </c>
      <c r="D5229" s="9">
        <v>63.2</v>
      </c>
      <c r="E5229" s="8">
        <v>37</v>
      </c>
    </row>
    <row r="5230" s="3" customFormat="1" ht="18.75" spans="1:5">
      <c r="A5230" s="8" t="str">
        <f t="shared" si="92"/>
        <v>250025</v>
      </c>
      <c r="B5230" s="8" t="str">
        <f>"2561406012702"</f>
        <v>2561406012702</v>
      </c>
      <c r="C5230" s="8" t="s">
        <v>12</v>
      </c>
      <c r="D5230" s="9">
        <v>63.15</v>
      </c>
      <c r="E5230" s="8">
        <v>38</v>
      </c>
    </row>
    <row r="5231" s="3" customFormat="1" ht="18.75" spans="1:5">
      <c r="A5231" s="8" t="str">
        <f t="shared" si="92"/>
        <v>250025</v>
      </c>
      <c r="B5231" s="8" t="str">
        <f>"2561406013008"</f>
        <v>2561406013008</v>
      </c>
      <c r="C5231" s="8" t="s">
        <v>12</v>
      </c>
      <c r="D5231" s="9">
        <v>63.15</v>
      </c>
      <c r="E5231" s="8">
        <v>38</v>
      </c>
    </row>
    <row r="5232" s="3" customFormat="1" ht="18.75" spans="1:5">
      <c r="A5232" s="8" t="str">
        <f t="shared" si="92"/>
        <v>250025</v>
      </c>
      <c r="B5232" s="8" t="str">
        <f>"2561406013228"</f>
        <v>2561406013228</v>
      </c>
      <c r="C5232" s="8" t="s">
        <v>12</v>
      </c>
      <c r="D5232" s="9">
        <v>63.13</v>
      </c>
      <c r="E5232" s="8">
        <v>40</v>
      </c>
    </row>
    <row r="5233" s="3" customFormat="1" ht="18.75" spans="1:5">
      <c r="A5233" s="8" t="str">
        <f t="shared" si="92"/>
        <v>250025</v>
      </c>
      <c r="B5233" s="8" t="str">
        <f>"2561406013516"</f>
        <v>2561406013516</v>
      </c>
      <c r="C5233" s="8" t="s">
        <v>12</v>
      </c>
      <c r="D5233" s="9">
        <v>63</v>
      </c>
      <c r="E5233" s="8">
        <v>41</v>
      </c>
    </row>
    <row r="5234" s="3" customFormat="1" ht="18.75" spans="1:5">
      <c r="A5234" s="8" t="str">
        <f t="shared" si="92"/>
        <v>250025</v>
      </c>
      <c r="B5234" s="8" t="str">
        <f>"2561406013307"</f>
        <v>2561406013307</v>
      </c>
      <c r="C5234" s="8" t="s">
        <v>12</v>
      </c>
      <c r="D5234" s="9">
        <v>62.86</v>
      </c>
      <c r="E5234" s="8">
        <v>42</v>
      </c>
    </row>
    <row r="5235" s="3" customFormat="1" ht="18.75" spans="1:5">
      <c r="A5235" s="8" t="str">
        <f t="shared" si="92"/>
        <v>250025</v>
      </c>
      <c r="B5235" s="8" t="str">
        <f>"2561406013414"</f>
        <v>2561406013414</v>
      </c>
      <c r="C5235" s="8" t="s">
        <v>12</v>
      </c>
      <c r="D5235" s="9">
        <v>62.74</v>
      </c>
      <c r="E5235" s="8">
        <v>43</v>
      </c>
    </row>
    <row r="5236" s="3" customFormat="1" ht="18.75" spans="1:5">
      <c r="A5236" s="8" t="str">
        <f t="shared" si="92"/>
        <v>250025</v>
      </c>
      <c r="B5236" s="8" t="str">
        <f>"2561406012807"</f>
        <v>2561406012807</v>
      </c>
      <c r="C5236" s="8" t="s">
        <v>12</v>
      </c>
      <c r="D5236" s="9">
        <v>62.6</v>
      </c>
      <c r="E5236" s="8">
        <v>44</v>
      </c>
    </row>
    <row r="5237" s="3" customFormat="1" ht="18.75" spans="1:5">
      <c r="A5237" s="8" t="str">
        <f t="shared" si="92"/>
        <v>250025</v>
      </c>
      <c r="B5237" s="8" t="str">
        <f>"2561406013701"</f>
        <v>2561406013701</v>
      </c>
      <c r="C5237" s="8" t="s">
        <v>12</v>
      </c>
      <c r="D5237" s="9">
        <v>62.57</v>
      </c>
      <c r="E5237" s="8">
        <v>45</v>
      </c>
    </row>
    <row r="5238" s="3" customFormat="1" ht="18.75" spans="1:5">
      <c r="A5238" s="8" t="str">
        <f t="shared" si="92"/>
        <v>250025</v>
      </c>
      <c r="B5238" s="8" t="str">
        <f>"2561406012720"</f>
        <v>2561406012720</v>
      </c>
      <c r="C5238" s="8" t="s">
        <v>12</v>
      </c>
      <c r="D5238" s="9">
        <v>62.55</v>
      </c>
      <c r="E5238" s="8">
        <v>46</v>
      </c>
    </row>
    <row r="5239" s="3" customFormat="1" ht="18.75" spans="1:5">
      <c r="A5239" s="8" t="str">
        <f t="shared" si="92"/>
        <v>250025</v>
      </c>
      <c r="B5239" s="8" t="str">
        <f>"2561406012919"</f>
        <v>2561406012919</v>
      </c>
      <c r="C5239" s="8" t="s">
        <v>12</v>
      </c>
      <c r="D5239" s="9">
        <v>62.54</v>
      </c>
      <c r="E5239" s="8">
        <v>47</v>
      </c>
    </row>
    <row r="5240" s="3" customFormat="1" ht="18.75" spans="1:5">
      <c r="A5240" s="8" t="str">
        <f t="shared" si="92"/>
        <v>250025</v>
      </c>
      <c r="B5240" s="8" t="str">
        <f>"2561406012717"</f>
        <v>2561406012717</v>
      </c>
      <c r="C5240" s="8" t="s">
        <v>12</v>
      </c>
      <c r="D5240" s="9">
        <v>62.42</v>
      </c>
      <c r="E5240" s="8">
        <v>48</v>
      </c>
    </row>
    <row r="5241" s="3" customFormat="1" ht="18.75" spans="1:5">
      <c r="A5241" s="8" t="str">
        <f t="shared" si="92"/>
        <v>250025</v>
      </c>
      <c r="B5241" s="8" t="str">
        <f>"2561406013230"</f>
        <v>2561406013230</v>
      </c>
      <c r="C5241" s="8" t="s">
        <v>12</v>
      </c>
      <c r="D5241" s="9">
        <v>62.39</v>
      </c>
      <c r="E5241" s="8">
        <v>49</v>
      </c>
    </row>
    <row r="5242" s="3" customFormat="1" ht="18.75" spans="1:5">
      <c r="A5242" s="8" t="str">
        <f t="shared" si="92"/>
        <v>250025</v>
      </c>
      <c r="B5242" s="8" t="str">
        <f>"2561406012622"</f>
        <v>2561406012622</v>
      </c>
      <c r="C5242" s="8" t="s">
        <v>12</v>
      </c>
      <c r="D5242" s="9">
        <v>62.35</v>
      </c>
      <c r="E5242" s="8">
        <v>50</v>
      </c>
    </row>
    <row r="5243" s="3" customFormat="1" ht="18.75" spans="1:5">
      <c r="A5243" s="8" t="str">
        <f t="shared" si="92"/>
        <v>250025</v>
      </c>
      <c r="B5243" s="8" t="str">
        <f>"2561406013619"</f>
        <v>2561406013619</v>
      </c>
      <c r="C5243" s="8" t="s">
        <v>12</v>
      </c>
      <c r="D5243" s="9">
        <v>62.26</v>
      </c>
      <c r="E5243" s="8">
        <v>51</v>
      </c>
    </row>
    <row r="5244" s="3" customFormat="1" ht="18.75" spans="1:5">
      <c r="A5244" s="8" t="str">
        <f t="shared" si="92"/>
        <v>250025</v>
      </c>
      <c r="B5244" s="8" t="str">
        <f>"2561406012909"</f>
        <v>2561406012909</v>
      </c>
      <c r="C5244" s="8" t="s">
        <v>12</v>
      </c>
      <c r="D5244" s="9">
        <v>62.23</v>
      </c>
      <c r="E5244" s="8">
        <v>52</v>
      </c>
    </row>
    <row r="5245" s="3" customFormat="1" ht="18.75" spans="1:5">
      <c r="A5245" s="8" t="str">
        <f t="shared" si="92"/>
        <v>250025</v>
      </c>
      <c r="B5245" s="8" t="str">
        <f>"2561406013630"</f>
        <v>2561406013630</v>
      </c>
      <c r="C5245" s="8" t="s">
        <v>12</v>
      </c>
      <c r="D5245" s="9">
        <v>62.22</v>
      </c>
      <c r="E5245" s="8">
        <v>53</v>
      </c>
    </row>
    <row r="5246" s="3" customFormat="1" ht="18.75" spans="1:5">
      <c r="A5246" s="8" t="str">
        <f t="shared" si="92"/>
        <v>250025</v>
      </c>
      <c r="B5246" s="8" t="str">
        <f>"2561406012711"</f>
        <v>2561406012711</v>
      </c>
      <c r="C5246" s="8" t="s">
        <v>12</v>
      </c>
      <c r="D5246" s="9">
        <v>62.14</v>
      </c>
      <c r="E5246" s="8">
        <v>54</v>
      </c>
    </row>
    <row r="5247" s="3" customFormat="1" ht="18.75" spans="1:5">
      <c r="A5247" s="8" t="str">
        <f t="shared" si="92"/>
        <v>250025</v>
      </c>
      <c r="B5247" s="8" t="str">
        <f>"2561406013316"</f>
        <v>2561406013316</v>
      </c>
      <c r="C5247" s="8" t="s">
        <v>12</v>
      </c>
      <c r="D5247" s="9">
        <v>62.13</v>
      </c>
      <c r="E5247" s="8">
        <v>55</v>
      </c>
    </row>
    <row r="5248" s="3" customFormat="1" ht="18.75" spans="1:5">
      <c r="A5248" s="8" t="str">
        <f t="shared" si="92"/>
        <v>250025</v>
      </c>
      <c r="B5248" s="8" t="str">
        <f>"2561406012608"</f>
        <v>2561406012608</v>
      </c>
      <c r="C5248" s="8" t="s">
        <v>12</v>
      </c>
      <c r="D5248" s="9">
        <v>62.07</v>
      </c>
      <c r="E5248" s="8">
        <v>56</v>
      </c>
    </row>
    <row r="5249" s="3" customFormat="1" ht="18.75" spans="1:5">
      <c r="A5249" s="8" t="str">
        <f t="shared" si="92"/>
        <v>250025</v>
      </c>
      <c r="B5249" s="8" t="str">
        <f>"2561406013018"</f>
        <v>2561406013018</v>
      </c>
      <c r="C5249" s="8" t="s">
        <v>12</v>
      </c>
      <c r="D5249" s="9">
        <v>62.03</v>
      </c>
      <c r="E5249" s="8">
        <v>57</v>
      </c>
    </row>
    <row r="5250" s="3" customFormat="1" ht="18.75" spans="1:5">
      <c r="A5250" s="8" t="str">
        <f t="shared" si="92"/>
        <v>250025</v>
      </c>
      <c r="B5250" s="8" t="str">
        <f>"2561406012619"</f>
        <v>2561406012619</v>
      </c>
      <c r="C5250" s="8" t="s">
        <v>12</v>
      </c>
      <c r="D5250" s="9">
        <v>61.84</v>
      </c>
      <c r="E5250" s="8">
        <v>58</v>
      </c>
    </row>
    <row r="5251" s="3" customFormat="1" ht="18.75" spans="1:5">
      <c r="A5251" s="8" t="str">
        <f t="shared" si="92"/>
        <v>250025</v>
      </c>
      <c r="B5251" s="8" t="str">
        <f>"2561406012823"</f>
        <v>2561406012823</v>
      </c>
      <c r="C5251" s="8" t="s">
        <v>12</v>
      </c>
      <c r="D5251" s="9">
        <v>61.82</v>
      </c>
      <c r="E5251" s="8">
        <v>59</v>
      </c>
    </row>
    <row r="5252" s="3" customFormat="1" ht="18.75" spans="1:5">
      <c r="A5252" s="8" t="str">
        <f t="shared" si="92"/>
        <v>250025</v>
      </c>
      <c r="B5252" s="8" t="str">
        <f>"2561406012725"</f>
        <v>2561406012725</v>
      </c>
      <c r="C5252" s="8" t="s">
        <v>12</v>
      </c>
      <c r="D5252" s="9">
        <v>61.55</v>
      </c>
      <c r="E5252" s="8">
        <v>60</v>
      </c>
    </row>
    <row r="5253" s="3" customFormat="1" ht="18.75" spans="1:5">
      <c r="A5253" s="8" t="str">
        <f t="shared" si="92"/>
        <v>250025</v>
      </c>
      <c r="B5253" s="8" t="str">
        <f>"2561406013223"</f>
        <v>2561406013223</v>
      </c>
      <c r="C5253" s="8" t="s">
        <v>12</v>
      </c>
      <c r="D5253" s="9">
        <v>61.43</v>
      </c>
      <c r="E5253" s="8">
        <v>61</v>
      </c>
    </row>
    <row r="5254" s="3" customFormat="1" ht="18.75" spans="1:5">
      <c r="A5254" s="8" t="str">
        <f t="shared" si="92"/>
        <v>250025</v>
      </c>
      <c r="B5254" s="8" t="str">
        <f>"2561406013007"</f>
        <v>2561406013007</v>
      </c>
      <c r="C5254" s="8" t="s">
        <v>12</v>
      </c>
      <c r="D5254" s="9">
        <v>61.42</v>
      </c>
      <c r="E5254" s="8">
        <v>62</v>
      </c>
    </row>
    <row r="5255" s="3" customFormat="1" ht="18.75" spans="1:5">
      <c r="A5255" s="8" t="str">
        <f t="shared" si="92"/>
        <v>250025</v>
      </c>
      <c r="B5255" s="8" t="str">
        <f>"2561406013521"</f>
        <v>2561406013521</v>
      </c>
      <c r="C5255" s="8" t="s">
        <v>12</v>
      </c>
      <c r="D5255" s="9">
        <v>61.31</v>
      </c>
      <c r="E5255" s="8">
        <v>63</v>
      </c>
    </row>
    <row r="5256" s="3" customFormat="1" ht="18.75" spans="1:5">
      <c r="A5256" s="8" t="str">
        <f t="shared" si="92"/>
        <v>250025</v>
      </c>
      <c r="B5256" s="8" t="str">
        <f>"2561406013718"</f>
        <v>2561406013718</v>
      </c>
      <c r="C5256" s="8" t="s">
        <v>12</v>
      </c>
      <c r="D5256" s="9">
        <v>61.29</v>
      </c>
      <c r="E5256" s="8">
        <v>64</v>
      </c>
    </row>
    <row r="5257" s="3" customFormat="1" ht="18.75" spans="1:5">
      <c r="A5257" s="8" t="str">
        <f t="shared" ref="A5257:A5320" si="93">"250025"</f>
        <v>250025</v>
      </c>
      <c r="B5257" s="8" t="str">
        <f>"2561406012903"</f>
        <v>2561406012903</v>
      </c>
      <c r="C5257" s="8" t="s">
        <v>12</v>
      </c>
      <c r="D5257" s="9">
        <v>61.27</v>
      </c>
      <c r="E5257" s="8">
        <v>65</v>
      </c>
    </row>
    <row r="5258" s="3" customFormat="1" ht="18.75" spans="1:5">
      <c r="A5258" s="8" t="str">
        <f t="shared" si="93"/>
        <v>250025</v>
      </c>
      <c r="B5258" s="8" t="str">
        <f>"2561406013405"</f>
        <v>2561406013405</v>
      </c>
      <c r="C5258" s="8" t="s">
        <v>12</v>
      </c>
      <c r="D5258" s="9">
        <v>61.05</v>
      </c>
      <c r="E5258" s="8">
        <v>66</v>
      </c>
    </row>
    <row r="5259" s="3" customFormat="1" ht="18.75" spans="1:5">
      <c r="A5259" s="8" t="str">
        <f t="shared" si="93"/>
        <v>250025</v>
      </c>
      <c r="B5259" s="8" t="str">
        <f>"2561406013330"</f>
        <v>2561406013330</v>
      </c>
      <c r="C5259" s="8" t="s">
        <v>12</v>
      </c>
      <c r="D5259" s="9">
        <v>61.02</v>
      </c>
      <c r="E5259" s="8">
        <v>67</v>
      </c>
    </row>
    <row r="5260" s="3" customFormat="1" ht="18.75" spans="1:5">
      <c r="A5260" s="8" t="str">
        <f t="shared" si="93"/>
        <v>250025</v>
      </c>
      <c r="B5260" s="8" t="str">
        <f>"2561406013003"</f>
        <v>2561406013003</v>
      </c>
      <c r="C5260" s="8" t="s">
        <v>12</v>
      </c>
      <c r="D5260" s="9">
        <v>60.89</v>
      </c>
      <c r="E5260" s="8">
        <v>68</v>
      </c>
    </row>
    <row r="5261" s="3" customFormat="1" ht="18.75" spans="1:5">
      <c r="A5261" s="8" t="str">
        <f t="shared" si="93"/>
        <v>250025</v>
      </c>
      <c r="B5261" s="8" t="str">
        <f>"2561406013012"</f>
        <v>2561406013012</v>
      </c>
      <c r="C5261" s="8" t="s">
        <v>12</v>
      </c>
      <c r="D5261" s="9">
        <v>60.82</v>
      </c>
      <c r="E5261" s="8">
        <v>69</v>
      </c>
    </row>
    <row r="5262" s="3" customFormat="1" ht="18.75" spans="1:5">
      <c r="A5262" s="8" t="str">
        <f t="shared" si="93"/>
        <v>250025</v>
      </c>
      <c r="B5262" s="8" t="str">
        <f>"2561406013204"</f>
        <v>2561406013204</v>
      </c>
      <c r="C5262" s="8" t="s">
        <v>12</v>
      </c>
      <c r="D5262" s="9">
        <v>60.74</v>
      </c>
      <c r="E5262" s="8">
        <v>70</v>
      </c>
    </row>
    <row r="5263" s="3" customFormat="1" ht="18.75" spans="1:5">
      <c r="A5263" s="8" t="str">
        <f t="shared" si="93"/>
        <v>250025</v>
      </c>
      <c r="B5263" s="8" t="str">
        <f>"2561406013615"</f>
        <v>2561406013615</v>
      </c>
      <c r="C5263" s="8" t="s">
        <v>12</v>
      </c>
      <c r="D5263" s="9">
        <v>60.74</v>
      </c>
      <c r="E5263" s="8">
        <v>70</v>
      </c>
    </row>
    <row r="5264" s="3" customFormat="1" ht="18.75" spans="1:5">
      <c r="A5264" s="8" t="str">
        <f t="shared" si="93"/>
        <v>250025</v>
      </c>
      <c r="B5264" s="8" t="str">
        <f>"2561406013201"</f>
        <v>2561406013201</v>
      </c>
      <c r="C5264" s="8" t="s">
        <v>12</v>
      </c>
      <c r="D5264" s="9">
        <v>60.6</v>
      </c>
      <c r="E5264" s="8">
        <v>72</v>
      </c>
    </row>
    <row r="5265" s="3" customFormat="1" ht="18.75" spans="1:5">
      <c r="A5265" s="8" t="str">
        <f t="shared" si="93"/>
        <v>250025</v>
      </c>
      <c r="B5265" s="8" t="str">
        <f>"2561406013606"</f>
        <v>2561406013606</v>
      </c>
      <c r="C5265" s="8" t="s">
        <v>12</v>
      </c>
      <c r="D5265" s="9">
        <v>60.44</v>
      </c>
      <c r="E5265" s="8">
        <v>73</v>
      </c>
    </row>
    <row r="5266" s="3" customFormat="1" ht="18.75" spans="1:5">
      <c r="A5266" s="8" t="str">
        <f t="shared" si="93"/>
        <v>250025</v>
      </c>
      <c r="B5266" s="8" t="str">
        <f>"2561406013214"</f>
        <v>2561406013214</v>
      </c>
      <c r="C5266" s="8" t="s">
        <v>12</v>
      </c>
      <c r="D5266" s="9">
        <v>60.15</v>
      </c>
      <c r="E5266" s="8">
        <v>74</v>
      </c>
    </row>
    <row r="5267" s="3" customFormat="1" ht="18.75" spans="1:5">
      <c r="A5267" s="8" t="str">
        <f t="shared" si="93"/>
        <v>250025</v>
      </c>
      <c r="B5267" s="8" t="str">
        <f>"2561406012618"</f>
        <v>2561406012618</v>
      </c>
      <c r="C5267" s="8" t="s">
        <v>12</v>
      </c>
      <c r="D5267" s="9">
        <v>59.98</v>
      </c>
      <c r="E5267" s="8">
        <v>75</v>
      </c>
    </row>
    <row r="5268" s="3" customFormat="1" ht="18.75" spans="1:5">
      <c r="A5268" s="8" t="str">
        <f t="shared" si="93"/>
        <v>250025</v>
      </c>
      <c r="B5268" s="8" t="str">
        <f>"2561406013309"</f>
        <v>2561406013309</v>
      </c>
      <c r="C5268" s="8" t="s">
        <v>12</v>
      </c>
      <c r="D5268" s="9">
        <v>59.98</v>
      </c>
      <c r="E5268" s="8">
        <v>75</v>
      </c>
    </row>
    <row r="5269" s="3" customFormat="1" ht="18.75" spans="1:5">
      <c r="A5269" s="8" t="str">
        <f t="shared" si="93"/>
        <v>250025</v>
      </c>
      <c r="B5269" s="8" t="str">
        <f>"2561406013510"</f>
        <v>2561406013510</v>
      </c>
      <c r="C5269" s="8" t="s">
        <v>12</v>
      </c>
      <c r="D5269" s="9">
        <v>59.93</v>
      </c>
      <c r="E5269" s="8">
        <v>77</v>
      </c>
    </row>
    <row r="5270" s="3" customFormat="1" ht="18.75" spans="1:5">
      <c r="A5270" s="8" t="str">
        <f t="shared" si="93"/>
        <v>250025</v>
      </c>
      <c r="B5270" s="8" t="str">
        <f>"2561406013625"</f>
        <v>2561406013625</v>
      </c>
      <c r="C5270" s="8" t="s">
        <v>12</v>
      </c>
      <c r="D5270" s="9">
        <v>59.89</v>
      </c>
      <c r="E5270" s="8">
        <v>78</v>
      </c>
    </row>
    <row r="5271" s="3" customFormat="1" ht="18.75" spans="1:5">
      <c r="A5271" s="8" t="str">
        <f t="shared" si="93"/>
        <v>250025</v>
      </c>
      <c r="B5271" s="8" t="str">
        <f>"2561406013218"</f>
        <v>2561406013218</v>
      </c>
      <c r="C5271" s="8" t="s">
        <v>12</v>
      </c>
      <c r="D5271" s="9">
        <v>59.72</v>
      </c>
      <c r="E5271" s="8">
        <v>79</v>
      </c>
    </row>
    <row r="5272" s="3" customFormat="1" ht="18.75" spans="1:5">
      <c r="A5272" s="8" t="str">
        <f t="shared" si="93"/>
        <v>250025</v>
      </c>
      <c r="B5272" s="8" t="str">
        <f>"2561406012722"</f>
        <v>2561406012722</v>
      </c>
      <c r="C5272" s="8" t="s">
        <v>12</v>
      </c>
      <c r="D5272" s="9">
        <v>59.66</v>
      </c>
      <c r="E5272" s="8">
        <v>80</v>
      </c>
    </row>
    <row r="5273" s="3" customFormat="1" ht="18.75" spans="1:5">
      <c r="A5273" s="8" t="str">
        <f t="shared" si="93"/>
        <v>250025</v>
      </c>
      <c r="B5273" s="8" t="str">
        <f>"2561406013802"</f>
        <v>2561406013802</v>
      </c>
      <c r="C5273" s="8" t="s">
        <v>12</v>
      </c>
      <c r="D5273" s="9">
        <v>59.41</v>
      </c>
      <c r="E5273" s="8">
        <v>81</v>
      </c>
    </row>
    <row r="5274" s="3" customFormat="1" ht="18.75" spans="1:5">
      <c r="A5274" s="8" t="str">
        <f t="shared" si="93"/>
        <v>250025</v>
      </c>
      <c r="B5274" s="8" t="str">
        <f>"2561406013110"</f>
        <v>2561406013110</v>
      </c>
      <c r="C5274" s="8" t="s">
        <v>12</v>
      </c>
      <c r="D5274" s="9">
        <v>59.36</v>
      </c>
      <c r="E5274" s="8">
        <v>82</v>
      </c>
    </row>
    <row r="5275" s="3" customFormat="1" ht="18.75" spans="1:5">
      <c r="A5275" s="8" t="str">
        <f t="shared" si="93"/>
        <v>250025</v>
      </c>
      <c r="B5275" s="8" t="str">
        <f>"2561406013605"</f>
        <v>2561406013605</v>
      </c>
      <c r="C5275" s="8" t="s">
        <v>12</v>
      </c>
      <c r="D5275" s="9">
        <v>59.23</v>
      </c>
      <c r="E5275" s="8">
        <v>83</v>
      </c>
    </row>
    <row r="5276" s="3" customFormat="1" ht="18.75" spans="1:5">
      <c r="A5276" s="8" t="str">
        <f t="shared" si="93"/>
        <v>250025</v>
      </c>
      <c r="B5276" s="8" t="str">
        <f>"2561406012811"</f>
        <v>2561406012811</v>
      </c>
      <c r="C5276" s="8" t="s">
        <v>12</v>
      </c>
      <c r="D5276" s="9">
        <v>59.11</v>
      </c>
      <c r="E5276" s="8">
        <v>84</v>
      </c>
    </row>
    <row r="5277" s="3" customFormat="1" ht="18.75" spans="1:5">
      <c r="A5277" s="8" t="str">
        <f t="shared" si="93"/>
        <v>250025</v>
      </c>
      <c r="B5277" s="8" t="str">
        <f>"2561406012821"</f>
        <v>2561406012821</v>
      </c>
      <c r="C5277" s="8" t="s">
        <v>12</v>
      </c>
      <c r="D5277" s="9">
        <v>59.1</v>
      </c>
      <c r="E5277" s="8">
        <v>85</v>
      </c>
    </row>
    <row r="5278" s="3" customFormat="1" ht="18.75" spans="1:5">
      <c r="A5278" s="8" t="str">
        <f t="shared" si="93"/>
        <v>250025</v>
      </c>
      <c r="B5278" s="8" t="str">
        <f>"2561406012920"</f>
        <v>2561406012920</v>
      </c>
      <c r="C5278" s="8" t="s">
        <v>12</v>
      </c>
      <c r="D5278" s="9">
        <v>59.06</v>
      </c>
      <c r="E5278" s="8">
        <v>86</v>
      </c>
    </row>
    <row r="5279" s="3" customFormat="1" ht="18.75" spans="1:5">
      <c r="A5279" s="8" t="str">
        <f t="shared" si="93"/>
        <v>250025</v>
      </c>
      <c r="B5279" s="8" t="str">
        <f>"2561406013122"</f>
        <v>2561406013122</v>
      </c>
      <c r="C5279" s="8" t="s">
        <v>12</v>
      </c>
      <c r="D5279" s="9">
        <v>59.04</v>
      </c>
      <c r="E5279" s="8">
        <v>87</v>
      </c>
    </row>
    <row r="5280" s="3" customFormat="1" ht="18.75" spans="1:5">
      <c r="A5280" s="8" t="str">
        <f t="shared" si="93"/>
        <v>250025</v>
      </c>
      <c r="B5280" s="8" t="str">
        <f>"2561406013203"</f>
        <v>2561406013203</v>
      </c>
      <c r="C5280" s="8" t="s">
        <v>12</v>
      </c>
      <c r="D5280" s="9">
        <v>58.94</v>
      </c>
      <c r="E5280" s="8">
        <v>88</v>
      </c>
    </row>
    <row r="5281" s="3" customFormat="1" ht="18.75" spans="1:5">
      <c r="A5281" s="8" t="str">
        <f t="shared" si="93"/>
        <v>250025</v>
      </c>
      <c r="B5281" s="8" t="str">
        <f>"2561406012927"</f>
        <v>2561406012927</v>
      </c>
      <c r="C5281" s="8" t="s">
        <v>12</v>
      </c>
      <c r="D5281" s="9">
        <v>58.93</v>
      </c>
      <c r="E5281" s="8">
        <v>89</v>
      </c>
    </row>
    <row r="5282" s="3" customFormat="1" ht="18.75" spans="1:5">
      <c r="A5282" s="8" t="str">
        <f t="shared" si="93"/>
        <v>250025</v>
      </c>
      <c r="B5282" s="8" t="str">
        <f>"2561406012912"</f>
        <v>2561406012912</v>
      </c>
      <c r="C5282" s="8" t="s">
        <v>12</v>
      </c>
      <c r="D5282" s="9">
        <v>58.92</v>
      </c>
      <c r="E5282" s="8">
        <v>90</v>
      </c>
    </row>
    <row r="5283" s="3" customFormat="1" ht="18.75" spans="1:5">
      <c r="A5283" s="8" t="str">
        <f t="shared" si="93"/>
        <v>250025</v>
      </c>
      <c r="B5283" s="8" t="str">
        <f>"2561406013026"</f>
        <v>2561406013026</v>
      </c>
      <c r="C5283" s="8" t="s">
        <v>12</v>
      </c>
      <c r="D5283" s="9">
        <v>58.92</v>
      </c>
      <c r="E5283" s="8">
        <v>90</v>
      </c>
    </row>
    <row r="5284" s="3" customFormat="1" ht="18.75" spans="1:5">
      <c r="A5284" s="8" t="str">
        <f t="shared" si="93"/>
        <v>250025</v>
      </c>
      <c r="B5284" s="8" t="str">
        <f>"2561406013809"</f>
        <v>2561406013809</v>
      </c>
      <c r="C5284" s="8" t="s">
        <v>12</v>
      </c>
      <c r="D5284" s="9">
        <v>58.92</v>
      </c>
      <c r="E5284" s="8">
        <v>90</v>
      </c>
    </row>
    <row r="5285" s="3" customFormat="1" ht="18.75" spans="1:5">
      <c r="A5285" s="8" t="str">
        <f t="shared" si="93"/>
        <v>250025</v>
      </c>
      <c r="B5285" s="8" t="str">
        <f>"2561406013406"</f>
        <v>2561406013406</v>
      </c>
      <c r="C5285" s="8" t="s">
        <v>12</v>
      </c>
      <c r="D5285" s="9">
        <v>58.81</v>
      </c>
      <c r="E5285" s="8">
        <v>93</v>
      </c>
    </row>
    <row r="5286" s="3" customFormat="1" ht="18.75" spans="1:5">
      <c r="A5286" s="8" t="str">
        <f t="shared" si="93"/>
        <v>250025</v>
      </c>
      <c r="B5286" s="8" t="str">
        <f>"2561406012710"</f>
        <v>2561406012710</v>
      </c>
      <c r="C5286" s="8" t="s">
        <v>12</v>
      </c>
      <c r="D5286" s="9">
        <v>58.67</v>
      </c>
      <c r="E5286" s="8">
        <v>94</v>
      </c>
    </row>
    <row r="5287" s="3" customFormat="1" ht="18.75" spans="1:5">
      <c r="A5287" s="8" t="str">
        <f t="shared" si="93"/>
        <v>250025</v>
      </c>
      <c r="B5287" s="8" t="str">
        <f>"2561406012612"</f>
        <v>2561406012612</v>
      </c>
      <c r="C5287" s="8" t="s">
        <v>12</v>
      </c>
      <c r="D5287" s="9">
        <v>58.66</v>
      </c>
      <c r="E5287" s="8">
        <v>95</v>
      </c>
    </row>
    <row r="5288" s="3" customFormat="1" ht="18.75" spans="1:5">
      <c r="A5288" s="8" t="str">
        <f t="shared" si="93"/>
        <v>250025</v>
      </c>
      <c r="B5288" s="8" t="str">
        <f>"2561406013422"</f>
        <v>2561406013422</v>
      </c>
      <c r="C5288" s="8" t="s">
        <v>12</v>
      </c>
      <c r="D5288" s="9">
        <v>58.56</v>
      </c>
      <c r="E5288" s="8">
        <v>96</v>
      </c>
    </row>
    <row r="5289" s="3" customFormat="1" ht="18.75" spans="1:5">
      <c r="A5289" s="8" t="str">
        <f t="shared" si="93"/>
        <v>250025</v>
      </c>
      <c r="B5289" s="8" t="str">
        <f>"2561406012922"</f>
        <v>2561406012922</v>
      </c>
      <c r="C5289" s="8" t="s">
        <v>12</v>
      </c>
      <c r="D5289" s="9">
        <v>58.4</v>
      </c>
      <c r="E5289" s="8">
        <v>97</v>
      </c>
    </row>
    <row r="5290" s="3" customFormat="1" ht="18.75" spans="1:5">
      <c r="A5290" s="8" t="str">
        <f t="shared" si="93"/>
        <v>250025</v>
      </c>
      <c r="B5290" s="8" t="str">
        <f>"2561406012609"</f>
        <v>2561406012609</v>
      </c>
      <c r="C5290" s="8" t="s">
        <v>12</v>
      </c>
      <c r="D5290" s="9">
        <v>58.38</v>
      </c>
      <c r="E5290" s="8">
        <v>98</v>
      </c>
    </row>
    <row r="5291" s="3" customFormat="1" ht="18.75" spans="1:5">
      <c r="A5291" s="8" t="str">
        <f t="shared" si="93"/>
        <v>250025</v>
      </c>
      <c r="B5291" s="8" t="str">
        <f>"2561406012611"</f>
        <v>2561406012611</v>
      </c>
      <c r="C5291" s="8" t="s">
        <v>12</v>
      </c>
      <c r="D5291" s="9">
        <v>58.37</v>
      </c>
      <c r="E5291" s="8">
        <v>99</v>
      </c>
    </row>
    <row r="5292" s="3" customFormat="1" ht="18.75" spans="1:5">
      <c r="A5292" s="8" t="str">
        <f t="shared" si="93"/>
        <v>250025</v>
      </c>
      <c r="B5292" s="8" t="str">
        <f>"2561406013529"</f>
        <v>2561406013529</v>
      </c>
      <c r="C5292" s="8" t="s">
        <v>12</v>
      </c>
      <c r="D5292" s="9">
        <v>58.35</v>
      </c>
      <c r="E5292" s="8">
        <v>100</v>
      </c>
    </row>
    <row r="5293" s="3" customFormat="1" ht="18.75" spans="1:5">
      <c r="A5293" s="8" t="str">
        <f t="shared" si="93"/>
        <v>250025</v>
      </c>
      <c r="B5293" s="8" t="str">
        <f>"2561406013602"</f>
        <v>2561406013602</v>
      </c>
      <c r="C5293" s="8" t="s">
        <v>12</v>
      </c>
      <c r="D5293" s="9">
        <v>58.3</v>
      </c>
      <c r="E5293" s="8">
        <v>101</v>
      </c>
    </row>
    <row r="5294" s="3" customFormat="1" ht="18.75" spans="1:5">
      <c r="A5294" s="8" t="str">
        <f t="shared" si="93"/>
        <v>250025</v>
      </c>
      <c r="B5294" s="8" t="str">
        <f>"2561406012721"</f>
        <v>2561406012721</v>
      </c>
      <c r="C5294" s="8" t="s">
        <v>12</v>
      </c>
      <c r="D5294" s="9">
        <v>58.23</v>
      </c>
      <c r="E5294" s="8">
        <v>102</v>
      </c>
    </row>
    <row r="5295" s="3" customFormat="1" ht="18.75" spans="1:5">
      <c r="A5295" s="8" t="str">
        <f t="shared" si="93"/>
        <v>250025</v>
      </c>
      <c r="B5295" s="8" t="str">
        <f>"2561406013601"</f>
        <v>2561406013601</v>
      </c>
      <c r="C5295" s="8" t="s">
        <v>12</v>
      </c>
      <c r="D5295" s="9">
        <v>58.2</v>
      </c>
      <c r="E5295" s="8">
        <v>103</v>
      </c>
    </row>
    <row r="5296" s="3" customFormat="1" ht="18.75" spans="1:5">
      <c r="A5296" s="8" t="str">
        <f t="shared" si="93"/>
        <v>250025</v>
      </c>
      <c r="B5296" s="8" t="str">
        <f>"2561406013016"</f>
        <v>2561406013016</v>
      </c>
      <c r="C5296" s="8" t="s">
        <v>12</v>
      </c>
      <c r="D5296" s="9">
        <v>58.08</v>
      </c>
      <c r="E5296" s="8">
        <v>104</v>
      </c>
    </row>
    <row r="5297" s="3" customFormat="1" ht="18.75" spans="1:5">
      <c r="A5297" s="8" t="str">
        <f t="shared" si="93"/>
        <v>250025</v>
      </c>
      <c r="B5297" s="8" t="str">
        <f>"2561406013321"</f>
        <v>2561406013321</v>
      </c>
      <c r="C5297" s="8" t="s">
        <v>12</v>
      </c>
      <c r="D5297" s="9">
        <v>58</v>
      </c>
      <c r="E5297" s="8">
        <v>105</v>
      </c>
    </row>
    <row r="5298" s="3" customFormat="1" ht="18.75" spans="1:5">
      <c r="A5298" s="8" t="str">
        <f t="shared" si="93"/>
        <v>250025</v>
      </c>
      <c r="B5298" s="8" t="str">
        <f>"2561406013115"</f>
        <v>2561406013115</v>
      </c>
      <c r="C5298" s="8" t="s">
        <v>12</v>
      </c>
      <c r="D5298" s="9">
        <v>57.96</v>
      </c>
      <c r="E5298" s="8">
        <v>106</v>
      </c>
    </row>
    <row r="5299" s="3" customFormat="1" ht="18.75" spans="1:5">
      <c r="A5299" s="8" t="str">
        <f t="shared" si="93"/>
        <v>250025</v>
      </c>
      <c r="B5299" s="8" t="str">
        <f>"2561406013624"</f>
        <v>2561406013624</v>
      </c>
      <c r="C5299" s="8" t="s">
        <v>12</v>
      </c>
      <c r="D5299" s="9">
        <v>57.73</v>
      </c>
      <c r="E5299" s="8">
        <v>107</v>
      </c>
    </row>
    <row r="5300" s="3" customFormat="1" ht="18.75" spans="1:5">
      <c r="A5300" s="8" t="str">
        <f t="shared" si="93"/>
        <v>250025</v>
      </c>
      <c r="B5300" s="8" t="str">
        <f>"2561406013211"</f>
        <v>2561406013211</v>
      </c>
      <c r="C5300" s="8" t="s">
        <v>12</v>
      </c>
      <c r="D5300" s="9">
        <v>57.72</v>
      </c>
      <c r="E5300" s="8">
        <v>108</v>
      </c>
    </row>
    <row r="5301" s="3" customFormat="1" ht="18.75" spans="1:5">
      <c r="A5301" s="8" t="str">
        <f t="shared" si="93"/>
        <v>250025</v>
      </c>
      <c r="B5301" s="8" t="str">
        <f>"2561406013726"</f>
        <v>2561406013726</v>
      </c>
      <c r="C5301" s="8" t="s">
        <v>12</v>
      </c>
      <c r="D5301" s="9">
        <v>57.72</v>
      </c>
      <c r="E5301" s="8">
        <v>108</v>
      </c>
    </row>
    <row r="5302" s="3" customFormat="1" ht="18.75" spans="1:5">
      <c r="A5302" s="8" t="str">
        <f t="shared" si="93"/>
        <v>250025</v>
      </c>
      <c r="B5302" s="8" t="str">
        <f>"2561406013021"</f>
        <v>2561406013021</v>
      </c>
      <c r="C5302" s="8" t="s">
        <v>12</v>
      </c>
      <c r="D5302" s="9">
        <v>57.56</v>
      </c>
      <c r="E5302" s="8">
        <v>110</v>
      </c>
    </row>
    <row r="5303" s="3" customFormat="1" ht="18.75" spans="1:5">
      <c r="A5303" s="8" t="str">
        <f t="shared" si="93"/>
        <v>250025</v>
      </c>
      <c r="B5303" s="8" t="str">
        <f>"2561406012829"</f>
        <v>2561406012829</v>
      </c>
      <c r="C5303" s="8" t="s">
        <v>12</v>
      </c>
      <c r="D5303" s="9">
        <v>57.45</v>
      </c>
      <c r="E5303" s="8">
        <v>111</v>
      </c>
    </row>
    <row r="5304" s="3" customFormat="1" ht="18.75" spans="1:5">
      <c r="A5304" s="8" t="str">
        <f t="shared" si="93"/>
        <v>250025</v>
      </c>
      <c r="B5304" s="8" t="str">
        <f>"2561406013311"</f>
        <v>2561406013311</v>
      </c>
      <c r="C5304" s="8" t="s">
        <v>12</v>
      </c>
      <c r="D5304" s="9">
        <v>57.38</v>
      </c>
      <c r="E5304" s="8">
        <v>112</v>
      </c>
    </row>
    <row r="5305" s="3" customFormat="1" ht="18.75" spans="1:5">
      <c r="A5305" s="8" t="str">
        <f t="shared" si="93"/>
        <v>250025</v>
      </c>
      <c r="B5305" s="8" t="str">
        <f>"2561406013711"</f>
        <v>2561406013711</v>
      </c>
      <c r="C5305" s="8" t="s">
        <v>12</v>
      </c>
      <c r="D5305" s="9">
        <v>57.14</v>
      </c>
      <c r="E5305" s="8">
        <v>113</v>
      </c>
    </row>
    <row r="5306" s="3" customFormat="1" ht="18.75" spans="1:5">
      <c r="A5306" s="8" t="str">
        <f t="shared" si="93"/>
        <v>250025</v>
      </c>
      <c r="B5306" s="8" t="str">
        <f>"2561406013416"</f>
        <v>2561406013416</v>
      </c>
      <c r="C5306" s="8" t="s">
        <v>12</v>
      </c>
      <c r="D5306" s="9">
        <v>57.04</v>
      </c>
      <c r="E5306" s="8">
        <v>114</v>
      </c>
    </row>
    <row r="5307" s="3" customFormat="1" ht="18.75" spans="1:5">
      <c r="A5307" s="8" t="str">
        <f t="shared" si="93"/>
        <v>250025</v>
      </c>
      <c r="B5307" s="8" t="str">
        <f>"2561406013212"</f>
        <v>2561406013212</v>
      </c>
      <c r="C5307" s="8" t="s">
        <v>12</v>
      </c>
      <c r="D5307" s="9">
        <v>57.01</v>
      </c>
      <c r="E5307" s="8">
        <v>115</v>
      </c>
    </row>
    <row r="5308" s="3" customFormat="1" ht="18.75" spans="1:5">
      <c r="A5308" s="8" t="str">
        <f t="shared" si="93"/>
        <v>250025</v>
      </c>
      <c r="B5308" s="8" t="str">
        <f>"2561406012604"</f>
        <v>2561406012604</v>
      </c>
      <c r="C5308" s="8" t="s">
        <v>12</v>
      </c>
      <c r="D5308" s="9">
        <v>56.92</v>
      </c>
      <c r="E5308" s="8">
        <v>116</v>
      </c>
    </row>
    <row r="5309" s="3" customFormat="1" ht="18.75" spans="1:5">
      <c r="A5309" s="8" t="str">
        <f t="shared" si="93"/>
        <v>250025</v>
      </c>
      <c r="B5309" s="8" t="str">
        <f>"2561406013328"</f>
        <v>2561406013328</v>
      </c>
      <c r="C5309" s="8" t="s">
        <v>12</v>
      </c>
      <c r="D5309" s="9">
        <v>56.86</v>
      </c>
      <c r="E5309" s="8">
        <v>117</v>
      </c>
    </row>
    <row r="5310" s="3" customFormat="1" ht="18.75" spans="1:5">
      <c r="A5310" s="8" t="str">
        <f t="shared" si="93"/>
        <v>250025</v>
      </c>
      <c r="B5310" s="8" t="str">
        <f>"2561406013430"</f>
        <v>2561406013430</v>
      </c>
      <c r="C5310" s="8" t="s">
        <v>12</v>
      </c>
      <c r="D5310" s="9">
        <v>56.85</v>
      </c>
      <c r="E5310" s="8">
        <v>118</v>
      </c>
    </row>
    <row r="5311" s="3" customFormat="1" ht="18.75" spans="1:5">
      <c r="A5311" s="8" t="str">
        <f t="shared" si="93"/>
        <v>250025</v>
      </c>
      <c r="B5311" s="8" t="str">
        <f>"2561406013409"</f>
        <v>2561406013409</v>
      </c>
      <c r="C5311" s="8" t="s">
        <v>12</v>
      </c>
      <c r="D5311" s="9">
        <v>56.67</v>
      </c>
      <c r="E5311" s="8">
        <v>119</v>
      </c>
    </row>
    <row r="5312" s="3" customFormat="1" ht="18.75" spans="1:5">
      <c r="A5312" s="8" t="str">
        <f t="shared" si="93"/>
        <v>250025</v>
      </c>
      <c r="B5312" s="8" t="str">
        <f>"2561406013225"</f>
        <v>2561406013225</v>
      </c>
      <c r="C5312" s="8" t="s">
        <v>12</v>
      </c>
      <c r="D5312" s="9">
        <v>56.66</v>
      </c>
      <c r="E5312" s="8">
        <v>120</v>
      </c>
    </row>
    <row r="5313" s="3" customFormat="1" ht="18.75" spans="1:5">
      <c r="A5313" s="8" t="str">
        <f t="shared" si="93"/>
        <v>250025</v>
      </c>
      <c r="B5313" s="8" t="str">
        <f>"2561406012814"</f>
        <v>2561406012814</v>
      </c>
      <c r="C5313" s="8" t="s">
        <v>12</v>
      </c>
      <c r="D5313" s="9">
        <v>56.42</v>
      </c>
      <c r="E5313" s="8">
        <v>121</v>
      </c>
    </row>
    <row r="5314" s="3" customFormat="1" ht="18.75" spans="1:5">
      <c r="A5314" s="8" t="str">
        <f t="shared" si="93"/>
        <v>250025</v>
      </c>
      <c r="B5314" s="8" t="str">
        <f>"2561406012914"</f>
        <v>2561406012914</v>
      </c>
      <c r="C5314" s="8" t="s">
        <v>12</v>
      </c>
      <c r="D5314" s="9">
        <v>56.35</v>
      </c>
      <c r="E5314" s="8">
        <v>122</v>
      </c>
    </row>
    <row r="5315" s="3" customFormat="1" ht="18.75" spans="1:5">
      <c r="A5315" s="8" t="str">
        <f t="shared" si="93"/>
        <v>250025</v>
      </c>
      <c r="B5315" s="8" t="str">
        <f>"2561406013121"</f>
        <v>2561406013121</v>
      </c>
      <c r="C5315" s="8" t="s">
        <v>12</v>
      </c>
      <c r="D5315" s="9">
        <v>56.2</v>
      </c>
      <c r="E5315" s="8">
        <v>123</v>
      </c>
    </row>
    <row r="5316" s="3" customFormat="1" ht="18.75" spans="1:5">
      <c r="A5316" s="8" t="str">
        <f t="shared" si="93"/>
        <v>250025</v>
      </c>
      <c r="B5316" s="8" t="str">
        <f>"2561406012930"</f>
        <v>2561406012930</v>
      </c>
      <c r="C5316" s="8" t="s">
        <v>12</v>
      </c>
      <c r="D5316" s="9">
        <v>56.13</v>
      </c>
      <c r="E5316" s="8">
        <v>124</v>
      </c>
    </row>
    <row r="5317" s="3" customFormat="1" ht="18.75" spans="1:5">
      <c r="A5317" s="8" t="str">
        <f t="shared" si="93"/>
        <v>250025</v>
      </c>
      <c r="B5317" s="8" t="str">
        <f>"2561406013720"</f>
        <v>2561406013720</v>
      </c>
      <c r="C5317" s="8" t="s">
        <v>12</v>
      </c>
      <c r="D5317" s="9">
        <v>56</v>
      </c>
      <c r="E5317" s="8">
        <v>125</v>
      </c>
    </row>
    <row r="5318" s="3" customFormat="1" ht="18.75" spans="1:5">
      <c r="A5318" s="8" t="str">
        <f t="shared" si="93"/>
        <v>250025</v>
      </c>
      <c r="B5318" s="8" t="str">
        <f>"2561406012620"</f>
        <v>2561406012620</v>
      </c>
      <c r="C5318" s="8" t="s">
        <v>12</v>
      </c>
      <c r="D5318" s="9">
        <v>55.98</v>
      </c>
      <c r="E5318" s="8">
        <v>126</v>
      </c>
    </row>
    <row r="5319" s="3" customFormat="1" ht="18.75" spans="1:5">
      <c r="A5319" s="8" t="str">
        <f t="shared" si="93"/>
        <v>250025</v>
      </c>
      <c r="B5319" s="8" t="str">
        <f>"2561406012621"</f>
        <v>2561406012621</v>
      </c>
      <c r="C5319" s="8" t="s">
        <v>12</v>
      </c>
      <c r="D5319" s="9">
        <v>55.93</v>
      </c>
      <c r="E5319" s="8">
        <v>127</v>
      </c>
    </row>
    <row r="5320" s="3" customFormat="1" ht="18.75" spans="1:5">
      <c r="A5320" s="8" t="str">
        <f t="shared" si="93"/>
        <v>250025</v>
      </c>
      <c r="B5320" s="8" t="str">
        <f>"2561406013117"</f>
        <v>2561406013117</v>
      </c>
      <c r="C5320" s="8" t="s">
        <v>12</v>
      </c>
      <c r="D5320" s="9">
        <v>55.83</v>
      </c>
      <c r="E5320" s="8">
        <v>128</v>
      </c>
    </row>
    <row r="5321" s="3" customFormat="1" ht="18.75" spans="1:5">
      <c r="A5321" s="8" t="str">
        <f t="shared" ref="A5321:A5384" si="94">"250025"</f>
        <v>250025</v>
      </c>
      <c r="B5321" s="8" t="str">
        <f>"2561406013319"</f>
        <v>2561406013319</v>
      </c>
      <c r="C5321" s="8" t="s">
        <v>12</v>
      </c>
      <c r="D5321" s="9">
        <v>55.8</v>
      </c>
      <c r="E5321" s="8">
        <v>129</v>
      </c>
    </row>
    <row r="5322" s="3" customFormat="1" ht="18.75" spans="1:5">
      <c r="A5322" s="8" t="str">
        <f t="shared" si="94"/>
        <v>250025</v>
      </c>
      <c r="B5322" s="8" t="str">
        <f>"2561406013019"</f>
        <v>2561406013019</v>
      </c>
      <c r="C5322" s="8" t="s">
        <v>12</v>
      </c>
      <c r="D5322" s="9">
        <v>55.78</v>
      </c>
      <c r="E5322" s="8">
        <v>130</v>
      </c>
    </row>
    <row r="5323" s="3" customFormat="1" ht="18.75" spans="1:5">
      <c r="A5323" s="8" t="str">
        <f t="shared" si="94"/>
        <v>250025</v>
      </c>
      <c r="B5323" s="8" t="str">
        <f>"2561406012730"</f>
        <v>2561406012730</v>
      </c>
      <c r="C5323" s="8" t="s">
        <v>12</v>
      </c>
      <c r="D5323" s="9">
        <v>55.77</v>
      </c>
      <c r="E5323" s="8">
        <v>131</v>
      </c>
    </row>
    <row r="5324" s="3" customFormat="1" ht="18.75" spans="1:5">
      <c r="A5324" s="8" t="str">
        <f t="shared" si="94"/>
        <v>250025</v>
      </c>
      <c r="B5324" s="8" t="str">
        <f>"2561406012825"</f>
        <v>2561406012825</v>
      </c>
      <c r="C5324" s="8" t="s">
        <v>12</v>
      </c>
      <c r="D5324" s="9">
        <v>55.75</v>
      </c>
      <c r="E5324" s="8">
        <v>132</v>
      </c>
    </row>
    <row r="5325" s="3" customFormat="1" ht="18.75" spans="1:5">
      <c r="A5325" s="8" t="str">
        <f t="shared" si="94"/>
        <v>250025</v>
      </c>
      <c r="B5325" s="8" t="str">
        <f>"2561406012817"</f>
        <v>2561406012817</v>
      </c>
      <c r="C5325" s="8" t="s">
        <v>12</v>
      </c>
      <c r="D5325" s="9">
        <v>55.74</v>
      </c>
      <c r="E5325" s="8">
        <v>133</v>
      </c>
    </row>
    <row r="5326" s="3" customFormat="1" ht="18.75" spans="1:5">
      <c r="A5326" s="8" t="str">
        <f t="shared" si="94"/>
        <v>250025</v>
      </c>
      <c r="B5326" s="8" t="str">
        <f>"2561406013314"</f>
        <v>2561406013314</v>
      </c>
      <c r="C5326" s="8" t="s">
        <v>12</v>
      </c>
      <c r="D5326" s="9">
        <v>55.72</v>
      </c>
      <c r="E5326" s="8">
        <v>134</v>
      </c>
    </row>
    <row r="5327" s="3" customFormat="1" ht="18.75" spans="1:5">
      <c r="A5327" s="8" t="str">
        <f t="shared" si="94"/>
        <v>250025</v>
      </c>
      <c r="B5327" s="8" t="str">
        <f>"2561406013713"</f>
        <v>2561406013713</v>
      </c>
      <c r="C5327" s="8" t="s">
        <v>12</v>
      </c>
      <c r="D5327" s="9">
        <v>55.64</v>
      </c>
      <c r="E5327" s="8">
        <v>135</v>
      </c>
    </row>
    <row r="5328" s="3" customFormat="1" ht="18.75" spans="1:5">
      <c r="A5328" s="8" t="str">
        <f t="shared" si="94"/>
        <v>250025</v>
      </c>
      <c r="B5328" s="8" t="str">
        <f>"2561406013622"</f>
        <v>2561406013622</v>
      </c>
      <c r="C5328" s="8" t="s">
        <v>12</v>
      </c>
      <c r="D5328" s="9">
        <v>55.33</v>
      </c>
      <c r="E5328" s="8">
        <v>136</v>
      </c>
    </row>
    <row r="5329" s="3" customFormat="1" ht="18.75" spans="1:5">
      <c r="A5329" s="8" t="str">
        <f t="shared" si="94"/>
        <v>250025</v>
      </c>
      <c r="B5329" s="8" t="str">
        <f>"2561406013428"</f>
        <v>2561406013428</v>
      </c>
      <c r="C5329" s="8" t="s">
        <v>12</v>
      </c>
      <c r="D5329" s="9">
        <v>55.32</v>
      </c>
      <c r="E5329" s="8">
        <v>137</v>
      </c>
    </row>
    <row r="5330" s="3" customFormat="1" ht="18.75" spans="1:5">
      <c r="A5330" s="8" t="str">
        <f t="shared" si="94"/>
        <v>250025</v>
      </c>
      <c r="B5330" s="8" t="str">
        <f>"2561406013517"</f>
        <v>2561406013517</v>
      </c>
      <c r="C5330" s="8" t="s">
        <v>12</v>
      </c>
      <c r="D5330" s="9">
        <v>55.01</v>
      </c>
      <c r="E5330" s="8">
        <v>138</v>
      </c>
    </row>
    <row r="5331" s="3" customFormat="1" ht="18.75" spans="1:5">
      <c r="A5331" s="8" t="str">
        <f t="shared" si="94"/>
        <v>250025</v>
      </c>
      <c r="B5331" s="8" t="str">
        <f>"2561406012605"</f>
        <v>2561406012605</v>
      </c>
      <c r="C5331" s="8" t="s">
        <v>12</v>
      </c>
      <c r="D5331" s="9">
        <v>54.71</v>
      </c>
      <c r="E5331" s="8">
        <v>139</v>
      </c>
    </row>
    <row r="5332" s="3" customFormat="1" ht="18.75" spans="1:5">
      <c r="A5332" s="8" t="str">
        <f t="shared" si="94"/>
        <v>250025</v>
      </c>
      <c r="B5332" s="8" t="str">
        <f>"2561406012627"</f>
        <v>2561406012627</v>
      </c>
      <c r="C5332" s="8" t="s">
        <v>12</v>
      </c>
      <c r="D5332" s="9">
        <v>54.7</v>
      </c>
      <c r="E5332" s="8">
        <v>140</v>
      </c>
    </row>
    <row r="5333" s="3" customFormat="1" ht="18.75" spans="1:5">
      <c r="A5333" s="8" t="str">
        <f t="shared" si="94"/>
        <v>250025</v>
      </c>
      <c r="B5333" s="8" t="str">
        <f>"2561406012815"</f>
        <v>2561406012815</v>
      </c>
      <c r="C5333" s="8" t="s">
        <v>12</v>
      </c>
      <c r="D5333" s="9">
        <v>54.66</v>
      </c>
      <c r="E5333" s="8">
        <v>141</v>
      </c>
    </row>
    <row r="5334" s="3" customFormat="1" ht="18.75" spans="1:5">
      <c r="A5334" s="8" t="str">
        <f t="shared" si="94"/>
        <v>250025</v>
      </c>
      <c r="B5334" s="8" t="str">
        <f>"2561406012724"</f>
        <v>2561406012724</v>
      </c>
      <c r="C5334" s="8" t="s">
        <v>12</v>
      </c>
      <c r="D5334" s="9">
        <v>54.46</v>
      </c>
      <c r="E5334" s="8">
        <v>142</v>
      </c>
    </row>
    <row r="5335" s="3" customFormat="1" ht="18.75" spans="1:5">
      <c r="A5335" s="8" t="str">
        <f t="shared" si="94"/>
        <v>250025</v>
      </c>
      <c r="B5335" s="8" t="str">
        <f>"2561406013518"</f>
        <v>2561406013518</v>
      </c>
      <c r="C5335" s="8" t="s">
        <v>12</v>
      </c>
      <c r="D5335" s="9">
        <v>54.45</v>
      </c>
      <c r="E5335" s="8">
        <v>143</v>
      </c>
    </row>
    <row r="5336" s="3" customFormat="1" ht="18.75" spans="1:5">
      <c r="A5336" s="8" t="str">
        <f t="shared" si="94"/>
        <v>250025</v>
      </c>
      <c r="B5336" s="8" t="str">
        <f>"2561406013801"</f>
        <v>2561406013801</v>
      </c>
      <c r="C5336" s="8" t="s">
        <v>12</v>
      </c>
      <c r="D5336" s="9">
        <v>54.43</v>
      </c>
      <c r="E5336" s="8">
        <v>144</v>
      </c>
    </row>
    <row r="5337" s="3" customFormat="1" ht="18.75" spans="1:5">
      <c r="A5337" s="8" t="str">
        <f t="shared" si="94"/>
        <v>250025</v>
      </c>
      <c r="B5337" s="8" t="str">
        <f>"2561406013106"</f>
        <v>2561406013106</v>
      </c>
      <c r="C5337" s="8" t="s">
        <v>12</v>
      </c>
      <c r="D5337" s="9">
        <v>54.28</v>
      </c>
      <c r="E5337" s="8">
        <v>145</v>
      </c>
    </row>
    <row r="5338" s="3" customFormat="1" ht="18.75" spans="1:5">
      <c r="A5338" s="8" t="str">
        <f t="shared" si="94"/>
        <v>250025</v>
      </c>
      <c r="B5338" s="8" t="str">
        <f>"2561406013420"</f>
        <v>2561406013420</v>
      </c>
      <c r="C5338" s="8" t="s">
        <v>12</v>
      </c>
      <c r="D5338" s="9">
        <v>54.28</v>
      </c>
      <c r="E5338" s="8">
        <v>145</v>
      </c>
    </row>
    <row r="5339" s="3" customFormat="1" ht="18.75" spans="1:5">
      <c r="A5339" s="8" t="str">
        <f t="shared" si="94"/>
        <v>250025</v>
      </c>
      <c r="B5339" s="8" t="str">
        <f>"2561406013708"</f>
        <v>2561406013708</v>
      </c>
      <c r="C5339" s="8" t="s">
        <v>12</v>
      </c>
      <c r="D5339" s="9">
        <v>54.25</v>
      </c>
      <c r="E5339" s="8">
        <v>147</v>
      </c>
    </row>
    <row r="5340" s="3" customFormat="1" ht="18.75" spans="1:5">
      <c r="A5340" s="8" t="str">
        <f t="shared" si="94"/>
        <v>250025</v>
      </c>
      <c r="B5340" s="8" t="str">
        <f>"2561406013306"</f>
        <v>2561406013306</v>
      </c>
      <c r="C5340" s="8" t="s">
        <v>12</v>
      </c>
      <c r="D5340" s="9">
        <v>54.18</v>
      </c>
      <c r="E5340" s="8">
        <v>148</v>
      </c>
    </row>
    <row r="5341" s="3" customFormat="1" ht="18.75" spans="1:5">
      <c r="A5341" s="8" t="str">
        <f t="shared" si="94"/>
        <v>250025</v>
      </c>
      <c r="B5341" s="8" t="str">
        <f>"2561406012816"</f>
        <v>2561406012816</v>
      </c>
      <c r="C5341" s="8" t="s">
        <v>12</v>
      </c>
      <c r="D5341" s="9">
        <v>54.03</v>
      </c>
      <c r="E5341" s="8">
        <v>149</v>
      </c>
    </row>
    <row r="5342" s="3" customFormat="1" ht="18.75" spans="1:5">
      <c r="A5342" s="8" t="str">
        <f t="shared" si="94"/>
        <v>250025</v>
      </c>
      <c r="B5342" s="8" t="str">
        <f>"2561406012714"</f>
        <v>2561406012714</v>
      </c>
      <c r="C5342" s="8" t="s">
        <v>12</v>
      </c>
      <c r="D5342" s="9">
        <v>53.98</v>
      </c>
      <c r="E5342" s="8">
        <v>150</v>
      </c>
    </row>
    <row r="5343" s="3" customFormat="1" ht="18.75" spans="1:5">
      <c r="A5343" s="8" t="str">
        <f t="shared" si="94"/>
        <v>250025</v>
      </c>
      <c r="B5343" s="8" t="str">
        <f>"2561406012708"</f>
        <v>2561406012708</v>
      </c>
      <c r="C5343" s="8" t="s">
        <v>12</v>
      </c>
      <c r="D5343" s="9">
        <v>53.93</v>
      </c>
      <c r="E5343" s="8">
        <v>151</v>
      </c>
    </row>
    <row r="5344" s="3" customFormat="1" ht="18.75" spans="1:5">
      <c r="A5344" s="8" t="str">
        <f t="shared" si="94"/>
        <v>250025</v>
      </c>
      <c r="B5344" s="8" t="str">
        <f>"2561406012623"</f>
        <v>2561406012623</v>
      </c>
      <c r="C5344" s="8" t="s">
        <v>12</v>
      </c>
      <c r="D5344" s="9">
        <v>53.92</v>
      </c>
      <c r="E5344" s="8">
        <v>152</v>
      </c>
    </row>
    <row r="5345" s="3" customFormat="1" ht="18.75" spans="1:5">
      <c r="A5345" s="8" t="str">
        <f t="shared" si="94"/>
        <v>250025</v>
      </c>
      <c r="B5345" s="8" t="str">
        <f>"2561406013729"</f>
        <v>2561406013729</v>
      </c>
      <c r="C5345" s="8" t="s">
        <v>12</v>
      </c>
      <c r="D5345" s="9">
        <v>53.55</v>
      </c>
      <c r="E5345" s="8">
        <v>153</v>
      </c>
    </row>
    <row r="5346" s="3" customFormat="1" ht="18.75" spans="1:5">
      <c r="A5346" s="8" t="str">
        <f t="shared" si="94"/>
        <v>250025</v>
      </c>
      <c r="B5346" s="8" t="str">
        <f>"2561406012617"</f>
        <v>2561406012617</v>
      </c>
      <c r="C5346" s="8" t="s">
        <v>12</v>
      </c>
      <c r="D5346" s="9">
        <v>53.3</v>
      </c>
      <c r="E5346" s="8">
        <v>154</v>
      </c>
    </row>
    <row r="5347" s="3" customFormat="1" ht="18.75" spans="1:5">
      <c r="A5347" s="8" t="str">
        <f t="shared" si="94"/>
        <v>250025</v>
      </c>
      <c r="B5347" s="8" t="str">
        <f>"2561406012606"</f>
        <v>2561406012606</v>
      </c>
      <c r="C5347" s="8" t="s">
        <v>12</v>
      </c>
      <c r="D5347" s="9">
        <v>53.07</v>
      </c>
      <c r="E5347" s="8">
        <v>155</v>
      </c>
    </row>
    <row r="5348" s="3" customFormat="1" ht="18.75" spans="1:5">
      <c r="A5348" s="8" t="str">
        <f t="shared" si="94"/>
        <v>250025</v>
      </c>
      <c r="B5348" s="8" t="str">
        <f>"2561406013523"</f>
        <v>2561406013523</v>
      </c>
      <c r="C5348" s="8" t="s">
        <v>12</v>
      </c>
      <c r="D5348" s="9">
        <v>52.88</v>
      </c>
      <c r="E5348" s="8">
        <v>156</v>
      </c>
    </row>
    <row r="5349" s="3" customFormat="1" ht="18.75" spans="1:5">
      <c r="A5349" s="8" t="str">
        <f t="shared" si="94"/>
        <v>250025</v>
      </c>
      <c r="B5349" s="8" t="str">
        <f>"2561406012827"</f>
        <v>2561406012827</v>
      </c>
      <c r="C5349" s="8" t="s">
        <v>12</v>
      </c>
      <c r="D5349" s="9">
        <v>52.79</v>
      </c>
      <c r="E5349" s="8">
        <v>157</v>
      </c>
    </row>
    <row r="5350" s="3" customFormat="1" ht="18.75" spans="1:5">
      <c r="A5350" s="8" t="str">
        <f t="shared" si="94"/>
        <v>250025</v>
      </c>
      <c r="B5350" s="8" t="str">
        <f>"2561406012803"</f>
        <v>2561406012803</v>
      </c>
      <c r="C5350" s="8" t="s">
        <v>12</v>
      </c>
      <c r="D5350" s="9">
        <v>52.65</v>
      </c>
      <c r="E5350" s="8">
        <v>158</v>
      </c>
    </row>
    <row r="5351" s="3" customFormat="1" ht="18.75" spans="1:5">
      <c r="A5351" s="8" t="str">
        <f t="shared" si="94"/>
        <v>250025</v>
      </c>
      <c r="B5351" s="8" t="str">
        <f>"2561406012911"</f>
        <v>2561406012911</v>
      </c>
      <c r="C5351" s="8" t="s">
        <v>12</v>
      </c>
      <c r="D5351" s="9">
        <v>52.6</v>
      </c>
      <c r="E5351" s="8">
        <v>159</v>
      </c>
    </row>
    <row r="5352" s="3" customFormat="1" ht="18.75" spans="1:5">
      <c r="A5352" s="8" t="str">
        <f t="shared" si="94"/>
        <v>250025</v>
      </c>
      <c r="B5352" s="8" t="str">
        <f>"2561406012723"</f>
        <v>2561406012723</v>
      </c>
      <c r="C5352" s="8" t="s">
        <v>12</v>
      </c>
      <c r="D5352" s="9">
        <v>52.55</v>
      </c>
      <c r="E5352" s="8">
        <v>160</v>
      </c>
    </row>
    <row r="5353" s="3" customFormat="1" ht="18.75" spans="1:5">
      <c r="A5353" s="8" t="str">
        <f t="shared" si="94"/>
        <v>250025</v>
      </c>
      <c r="B5353" s="8" t="str">
        <f>"2561406013015"</f>
        <v>2561406013015</v>
      </c>
      <c r="C5353" s="8" t="s">
        <v>12</v>
      </c>
      <c r="D5353" s="9">
        <v>52.52</v>
      </c>
      <c r="E5353" s="8">
        <v>161</v>
      </c>
    </row>
    <row r="5354" s="3" customFormat="1" ht="18.75" spans="1:5">
      <c r="A5354" s="8" t="str">
        <f t="shared" si="94"/>
        <v>250025</v>
      </c>
      <c r="B5354" s="8" t="str">
        <f>"2561406013610"</f>
        <v>2561406013610</v>
      </c>
      <c r="C5354" s="8" t="s">
        <v>12</v>
      </c>
      <c r="D5354" s="9">
        <v>52.46</v>
      </c>
      <c r="E5354" s="8">
        <v>162</v>
      </c>
    </row>
    <row r="5355" s="3" customFormat="1" ht="18.75" spans="1:5">
      <c r="A5355" s="8" t="str">
        <f t="shared" si="94"/>
        <v>250025</v>
      </c>
      <c r="B5355" s="8" t="str">
        <f>"2561406013229"</f>
        <v>2561406013229</v>
      </c>
      <c r="C5355" s="8" t="s">
        <v>12</v>
      </c>
      <c r="D5355" s="9">
        <v>52.4</v>
      </c>
      <c r="E5355" s="8">
        <v>163</v>
      </c>
    </row>
    <row r="5356" s="3" customFormat="1" ht="18.75" spans="1:5">
      <c r="A5356" s="8" t="str">
        <f t="shared" si="94"/>
        <v>250025</v>
      </c>
      <c r="B5356" s="8" t="str">
        <f>"2561406012715"</f>
        <v>2561406012715</v>
      </c>
      <c r="C5356" s="8" t="s">
        <v>12</v>
      </c>
      <c r="D5356" s="9">
        <v>52.38</v>
      </c>
      <c r="E5356" s="8">
        <v>164</v>
      </c>
    </row>
    <row r="5357" s="3" customFormat="1" ht="18.75" spans="1:5">
      <c r="A5357" s="8" t="str">
        <f t="shared" si="94"/>
        <v>250025</v>
      </c>
      <c r="B5357" s="8" t="str">
        <f>"2561406013707"</f>
        <v>2561406013707</v>
      </c>
      <c r="C5357" s="8" t="s">
        <v>12</v>
      </c>
      <c r="D5357" s="9">
        <v>52.29</v>
      </c>
      <c r="E5357" s="8">
        <v>165</v>
      </c>
    </row>
    <row r="5358" s="3" customFormat="1" ht="18.75" spans="1:5">
      <c r="A5358" s="8" t="str">
        <f t="shared" si="94"/>
        <v>250025</v>
      </c>
      <c r="B5358" s="8" t="str">
        <f>"2561406013322"</f>
        <v>2561406013322</v>
      </c>
      <c r="C5358" s="8" t="s">
        <v>12</v>
      </c>
      <c r="D5358" s="9">
        <v>52.28</v>
      </c>
      <c r="E5358" s="8">
        <v>166</v>
      </c>
    </row>
    <row r="5359" s="3" customFormat="1" ht="18.75" spans="1:5">
      <c r="A5359" s="8" t="str">
        <f t="shared" si="94"/>
        <v>250025</v>
      </c>
      <c r="B5359" s="8" t="str">
        <f>"2561406013213"</f>
        <v>2561406013213</v>
      </c>
      <c r="C5359" s="8" t="s">
        <v>12</v>
      </c>
      <c r="D5359" s="9">
        <v>52.26</v>
      </c>
      <c r="E5359" s="8">
        <v>167</v>
      </c>
    </row>
    <row r="5360" s="3" customFormat="1" ht="18.75" spans="1:5">
      <c r="A5360" s="8" t="str">
        <f t="shared" si="94"/>
        <v>250025</v>
      </c>
      <c r="B5360" s="8" t="str">
        <f>"2561406012804"</f>
        <v>2561406012804</v>
      </c>
      <c r="C5360" s="8" t="s">
        <v>12</v>
      </c>
      <c r="D5360" s="9">
        <v>52.05</v>
      </c>
      <c r="E5360" s="8">
        <v>168</v>
      </c>
    </row>
    <row r="5361" s="3" customFormat="1" ht="18.75" spans="1:5">
      <c r="A5361" s="8" t="str">
        <f t="shared" si="94"/>
        <v>250025</v>
      </c>
      <c r="B5361" s="8" t="str">
        <f>"2561406013221"</f>
        <v>2561406013221</v>
      </c>
      <c r="C5361" s="8" t="s">
        <v>12</v>
      </c>
      <c r="D5361" s="9">
        <v>51.92</v>
      </c>
      <c r="E5361" s="8">
        <v>169</v>
      </c>
    </row>
    <row r="5362" s="3" customFormat="1" ht="18.75" spans="1:5">
      <c r="A5362" s="8" t="str">
        <f t="shared" si="94"/>
        <v>250025</v>
      </c>
      <c r="B5362" s="8" t="str">
        <f>"2561406013808"</f>
        <v>2561406013808</v>
      </c>
      <c r="C5362" s="8" t="s">
        <v>12</v>
      </c>
      <c r="D5362" s="9">
        <v>51.82</v>
      </c>
      <c r="E5362" s="8">
        <v>170</v>
      </c>
    </row>
    <row r="5363" s="3" customFormat="1" ht="18.75" spans="1:5">
      <c r="A5363" s="8" t="str">
        <f t="shared" si="94"/>
        <v>250025</v>
      </c>
      <c r="B5363" s="8" t="str">
        <f>"2561406013126"</f>
        <v>2561406013126</v>
      </c>
      <c r="C5363" s="8" t="s">
        <v>12</v>
      </c>
      <c r="D5363" s="9">
        <v>51.65</v>
      </c>
      <c r="E5363" s="8">
        <v>171</v>
      </c>
    </row>
    <row r="5364" s="3" customFormat="1" ht="18.75" spans="1:5">
      <c r="A5364" s="8" t="str">
        <f t="shared" si="94"/>
        <v>250025</v>
      </c>
      <c r="B5364" s="8" t="str">
        <f>"2561406013623"</f>
        <v>2561406013623</v>
      </c>
      <c r="C5364" s="8" t="s">
        <v>12</v>
      </c>
      <c r="D5364" s="9">
        <v>51.37</v>
      </c>
      <c r="E5364" s="8">
        <v>172</v>
      </c>
    </row>
    <row r="5365" s="3" customFormat="1" ht="18.75" spans="1:5">
      <c r="A5365" s="8" t="str">
        <f t="shared" si="94"/>
        <v>250025</v>
      </c>
      <c r="B5365" s="8" t="str">
        <f>"2561406013224"</f>
        <v>2561406013224</v>
      </c>
      <c r="C5365" s="8" t="s">
        <v>12</v>
      </c>
      <c r="D5365" s="9">
        <v>51.13</v>
      </c>
      <c r="E5365" s="8">
        <v>173</v>
      </c>
    </row>
    <row r="5366" s="3" customFormat="1" ht="18.75" spans="1:5">
      <c r="A5366" s="8" t="str">
        <f t="shared" si="94"/>
        <v>250025</v>
      </c>
      <c r="B5366" s="8" t="str">
        <f>"2561406013124"</f>
        <v>2561406013124</v>
      </c>
      <c r="C5366" s="8" t="s">
        <v>12</v>
      </c>
      <c r="D5366" s="9">
        <v>51.08</v>
      </c>
      <c r="E5366" s="8">
        <v>174</v>
      </c>
    </row>
    <row r="5367" s="3" customFormat="1" ht="18.75" spans="1:5">
      <c r="A5367" s="8" t="str">
        <f t="shared" si="94"/>
        <v>250025</v>
      </c>
      <c r="B5367" s="8" t="str">
        <f>"2561406013620"</f>
        <v>2561406013620</v>
      </c>
      <c r="C5367" s="8" t="s">
        <v>12</v>
      </c>
      <c r="D5367" s="9">
        <v>50.96</v>
      </c>
      <c r="E5367" s="8">
        <v>175</v>
      </c>
    </row>
    <row r="5368" s="3" customFormat="1" ht="18.75" spans="1:5">
      <c r="A5368" s="8" t="str">
        <f t="shared" si="94"/>
        <v>250025</v>
      </c>
      <c r="B5368" s="8" t="str">
        <f>"2561406012626"</f>
        <v>2561406012626</v>
      </c>
      <c r="C5368" s="8" t="s">
        <v>12</v>
      </c>
      <c r="D5368" s="9">
        <v>50.9</v>
      </c>
      <c r="E5368" s="8">
        <v>176</v>
      </c>
    </row>
    <row r="5369" s="3" customFormat="1" ht="18.75" spans="1:5">
      <c r="A5369" s="8" t="str">
        <f t="shared" si="94"/>
        <v>250025</v>
      </c>
      <c r="B5369" s="8" t="str">
        <f>"2561406013614"</f>
        <v>2561406013614</v>
      </c>
      <c r="C5369" s="8" t="s">
        <v>12</v>
      </c>
      <c r="D5369" s="9">
        <v>50.65</v>
      </c>
      <c r="E5369" s="8">
        <v>177</v>
      </c>
    </row>
    <row r="5370" s="3" customFormat="1" ht="18.75" spans="1:5">
      <c r="A5370" s="8" t="str">
        <f t="shared" si="94"/>
        <v>250025</v>
      </c>
      <c r="B5370" s="8" t="str">
        <f>"2561406012921"</f>
        <v>2561406012921</v>
      </c>
      <c r="C5370" s="8" t="s">
        <v>12</v>
      </c>
      <c r="D5370" s="9">
        <v>50.53</v>
      </c>
      <c r="E5370" s="8">
        <v>178</v>
      </c>
    </row>
    <row r="5371" s="3" customFormat="1" ht="18.75" spans="1:5">
      <c r="A5371" s="8" t="str">
        <f t="shared" si="94"/>
        <v>250025</v>
      </c>
      <c r="B5371" s="8" t="str">
        <f>"2561406012713"</f>
        <v>2561406012713</v>
      </c>
      <c r="C5371" s="8" t="s">
        <v>12</v>
      </c>
      <c r="D5371" s="9">
        <v>50.47</v>
      </c>
      <c r="E5371" s="8">
        <v>179</v>
      </c>
    </row>
    <row r="5372" s="3" customFormat="1" ht="18.75" spans="1:5">
      <c r="A5372" s="8" t="str">
        <f t="shared" si="94"/>
        <v>250025</v>
      </c>
      <c r="B5372" s="8" t="str">
        <f>"2561406013710"</f>
        <v>2561406013710</v>
      </c>
      <c r="C5372" s="8" t="s">
        <v>12</v>
      </c>
      <c r="D5372" s="9">
        <v>50.47</v>
      </c>
      <c r="E5372" s="8">
        <v>179</v>
      </c>
    </row>
    <row r="5373" s="3" customFormat="1" ht="18.75" spans="1:5">
      <c r="A5373" s="8" t="str">
        <f t="shared" si="94"/>
        <v>250025</v>
      </c>
      <c r="B5373" s="8" t="str">
        <f>"2561406013609"</f>
        <v>2561406013609</v>
      </c>
      <c r="C5373" s="8" t="s">
        <v>12</v>
      </c>
      <c r="D5373" s="9">
        <v>50.46</v>
      </c>
      <c r="E5373" s="8">
        <v>181</v>
      </c>
    </row>
    <row r="5374" s="3" customFormat="1" ht="18.75" spans="1:5">
      <c r="A5374" s="8" t="str">
        <f t="shared" si="94"/>
        <v>250025</v>
      </c>
      <c r="B5374" s="8" t="str">
        <f>"2561406013207"</f>
        <v>2561406013207</v>
      </c>
      <c r="C5374" s="8" t="s">
        <v>12</v>
      </c>
      <c r="D5374" s="9">
        <v>50.4</v>
      </c>
      <c r="E5374" s="8">
        <v>182</v>
      </c>
    </row>
    <row r="5375" s="3" customFormat="1" ht="18.75" spans="1:5">
      <c r="A5375" s="8" t="str">
        <f t="shared" si="94"/>
        <v>250025</v>
      </c>
      <c r="B5375" s="8" t="str">
        <f>"2561406012908"</f>
        <v>2561406012908</v>
      </c>
      <c r="C5375" s="8" t="s">
        <v>12</v>
      </c>
      <c r="D5375" s="9">
        <v>50.34</v>
      </c>
      <c r="E5375" s="8">
        <v>183</v>
      </c>
    </row>
    <row r="5376" s="3" customFormat="1" ht="18.75" spans="1:5">
      <c r="A5376" s="8" t="str">
        <f t="shared" si="94"/>
        <v>250025</v>
      </c>
      <c r="B5376" s="8" t="str">
        <f>"2561406013417"</f>
        <v>2561406013417</v>
      </c>
      <c r="C5376" s="8" t="s">
        <v>12</v>
      </c>
      <c r="D5376" s="9">
        <v>50.27</v>
      </c>
      <c r="E5376" s="8">
        <v>184</v>
      </c>
    </row>
    <row r="5377" s="3" customFormat="1" ht="18.75" spans="1:5">
      <c r="A5377" s="8" t="str">
        <f t="shared" si="94"/>
        <v>250025</v>
      </c>
      <c r="B5377" s="8" t="str">
        <f>"2561406013028"</f>
        <v>2561406013028</v>
      </c>
      <c r="C5377" s="8" t="s">
        <v>12</v>
      </c>
      <c r="D5377" s="9">
        <v>50.16</v>
      </c>
      <c r="E5377" s="8">
        <v>185</v>
      </c>
    </row>
    <row r="5378" s="3" customFormat="1" ht="18.75" spans="1:5">
      <c r="A5378" s="8" t="str">
        <f t="shared" si="94"/>
        <v>250025</v>
      </c>
      <c r="B5378" s="8" t="str">
        <f>"2561406013621"</f>
        <v>2561406013621</v>
      </c>
      <c r="C5378" s="8" t="s">
        <v>12</v>
      </c>
      <c r="D5378" s="9">
        <v>50.02</v>
      </c>
      <c r="E5378" s="8">
        <v>186</v>
      </c>
    </row>
    <row r="5379" s="3" customFormat="1" ht="18.75" spans="1:5">
      <c r="A5379" s="8" t="str">
        <f t="shared" si="94"/>
        <v>250025</v>
      </c>
      <c r="B5379" s="8" t="str">
        <f>"2561406013226"</f>
        <v>2561406013226</v>
      </c>
      <c r="C5379" s="8" t="s">
        <v>12</v>
      </c>
      <c r="D5379" s="9">
        <v>50.01</v>
      </c>
      <c r="E5379" s="8">
        <v>187</v>
      </c>
    </row>
    <row r="5380" s="3" customFormat="1" ht="18.75" spans="1:5">
      <c r="A5380" s="8" t="str">
        <f t="shared" si="94"/>
        <v>250025</v>
      </c>
      <c r="B5380" s="8" t="str">
        <f>"2561406013205"</f>
        <v>2561406013205</v>
      </c>
      <c r="C5380" s="8" t="s">
        <v>12</v>
      </c>
      <c r="D5380" s="9">
        <v>49.5</v>
      </c>
      <c r="E5380" s="8">
        <v>188</v>
      </c>
    </row>
    <row r="5381" s="3" customFormat="1" ht="18.75" spans="1:5">
      <c r="A5381" s="8" t="str">
        <f t="shared" si="94"/>
        <v>250025</v>
      </c>
      <c r="B5381" s="8" t="str">
        <f>"2561406012615"</f>
        <v>2561406012615</v>
      </c>
      <c r="C5381" s="8" t="s">
        <v>12</v>
      </c>
      <c r="D5381" s="9">
        <v>49.49</v>
      </c>
      <c r="E5381" s="8">
        <v>189</v>
      </c>
    </row>
    <row r="5382" s="3" customFormat="1" ht="18.75" spans="1:5">
      <c r="A5382" s="8" t="str">
        <f t="shared" si="94"/>
        <v>250025</v>
      </c>
      <c r="B5382" s="8" t="str">
        <f>"2561406012812"</f>
        <v>2561406012812</v>
      </c>
      <c r="C5382" s="8" t="s">
        <v>12</v>
      </c>
      <c r="D5382" s="9">
        <v>49.38</v>
      </c>
      <c r="E5382" s="8">
        <v>190</v>
      </c>
    </row>
    <row r="5383" s="3" customFormat="1" ht="18.75" spans="1:5">
      <c r="A5383" s="8" t="str">
        <f t="shared" si="94"/>
        <v>250025</v>
      </c>
      <c r="B5383" s="8" t="str">
        <f>"2561406013002"</f>
        <v>2561406013002</v>
      </c>
      <c r="C5383" s="8" t="s">
        <v>12</v>
      </c>
      <c r="D5383" s="9">
        <v>49.32</v>
      </c>
      <c r="E5383" s="8">
        <v>191</v>
      </c>
    </row>
    <row r="5384" s="3" customFormat="1" ht="18.75" spans="1:5">
      <c r="A5384" s="8" t="str">
        <f t="shared" si="94"/>
        <v>250025</v>
      </c>
      <c r="B5384" s="8" t="str">
        <f>"2561406012828"</f>
        <v>2561406012828</v>
      </c>
      <c r="C5384" s="8" t="s">
        <v>12</v>
      </c>
      <c r="D5384" s="9">
        <v>49.3</v>
      </c>
      <c r="E5384" s="8">
        <v>192</v>
      </c>
    </row>
    <row r="5385" s="3" customFormat="1" ht="18.75" spans="1:5">
      <c r="A5385" s="8" t="str">
        <f t="shared" ref="A5385:A5448" si="95">"250025"</f>
        <v>250025</v>
      </c>
      <c r="B5385" s="8" t="str">
        <f>"2561406013001"</f>
        <v>2561406013001</v>
      </c>
      <c r="C5385" s="8" t="s">
        <v>12</v>
      </c>
      <c r="D5385" s="9">
        <v>49.22</v>
      </c>
      <c r="E5385" s="8">
        <v>193</v>
      </c>
    </row>
    <row r="5386" s="3" customFormat="1" ht="18.75" spans="1:5">
      <c r="A5386" s="8" t="str">
        <f t="shared" si="95"/>
        <v>250025</v>
      </c>
      <c r="B5386" s="8" t="str">
        <f>"2561406012928"</f>
        <v>2561406012928</v>
      </c>
      <c r="C5386" s="8" t="s">
        <v>12</v>
      </c>
      <c r="D5386" s="9">
        <v>49.11</v>
      </c>
      <c r="E5386" s="8">
        <v>194</v>
      </c>
    </row>
    <row r="5387" s="3" customFormat="1" ht="18.75" spans="1:5">
      <c r="A5387" s="8" t="str">
        <f t="shared" si="95"/>
        <v>250025</v>
      </c>
      <c r="B5387" s="8" t="str">
        <f>"2561406012728"</f>
        <v>2561406012728</v>
      </c>
      <c r="C5387" s="8" t="s">
        <v>12</v>
      </c>
      <c r="D5387" s="9">
        <v>49.09</v>
      </c>
      <c r="E5387" s="8">
        <v>195</v>
      </c>
    </row>
    <row r="5388" s="3" customFormat="1" ht="18.75" spans="1:5">
      <c r="A5388" s="8" t="str">
        <f t="shared" si="95"/>
        <v>250025</v>
      </c>
      <c r="B5388" s="8" t="str">
        <f>"2561406012704"</f>
        <v>2561406012704</v>
      </c>
      <c r="C5388" s="8" t="s">
        <v>12</v>
      </c>
      <c r="D5388" s="9">
        <v>49.07</v>
      </c>
      <c r="E5388" s="8">
        <v>196</v>
      </c>
    </row>
    <row r="5389" s="3" customFormat="1" ht="18.75" spans="1:5">
      <c r="A5389" s="8" t="str">
        <f t="shared" si="95"/>
        <v>250025</v>
      </c>
      <c r="B5389" s="8" t="str">
        <f>"2561406013318"</f>
        <v>2561406013318</v>
      </c>
      <c r="C5389" s="8" t="s">
        <v>12</v>
      </c>
      <c r="D5389" s="9">
        <v>48.88</v>
      </c>
      <c r="E5389" s="8">
        <v>197</v>
      </c>
    </row>
    <row r="5390" s="3" customFormat="1" ht="18.75" spans="1:5">
      <c r="A5390" s="8" t="str">
        <f t="shared" si="95"/>
        <v>250025</v>
      </c>
      <c r="B5390" s="8" t="str">
        <f>"2561406012624"</f>
        <v>2561406012624</v>
      </c>
      <c r="C5390" s="8" t="s">
        <v>12</v>
      </c>
      <c r="D5390" s="9">
        <v>48.81</v>
      </c>
      <c r="E5390" s="8">
        <v>198</v>
      </c>
    </row>
    <row r="5391" s="3" customFormat="1" ht="18.75" spans="1:5">
      <c r="A5391" s="8" t="str">
        <f t="shared" si="95"/>
        <v>250025</v>
      </c>
      <c r="B5391" s="8" t="str">
        <f>"2561406013027"</f>
        <v>2561406013027</v>
      </c>
      <c r="C5391" s="8" t="s">
        <v>12</v>
      </c>
      <c r="D5391" s="9">
        <v>48.63</v>
      </c>
      <c r="E5391" s="8">
        <v>199</v>
      </c>
    </row>
    <row r="5392" s="3" customFormat="1" ht="18.75" spans="1:5">
      <c r="A5392" s="8" t="str">
        <f t="shared" si="95"/>
        <v>250025</v>
      </c>
      <c r="B5392" s="8" t="str">
        <f>"2561406012824"</f>
        <v>2561406012824</v>
      </c>
      <c r="C5392" s="8" t="s">
        <v>12</v>
      </c>
      <c r="D5392" s="9">
        <v>48.6</v>
      </c>
      <c r="E5392" s="8">
        <v>200</v>
      </c>
    </row>
    <row r="5393" s="3" customFormat="1" ht="18.75" spans="1:5">
      <c r="A5393" s="8" t="str">
        <f t="shared" si="95"/>
        <v>250025</v>
      </c>
      <c r="B5393" s="8" t="str">
        <f>"2561406013505"</f>
        <v>2561406013505</v>
      </c>
      <c r="C5393" s="8" t="s">
        <v>12</v>
      </c>
      <c r="D5393" s="9">
        <v>48.58</v>
      </c>
      <c r="E5393" s="8">
        <v>201</v>
      </c>
    </row>
    <row r="5394" s="3" customFormat="1" ht="18.75" spans="1:5">
      <c r="A5394" s="8" t="str">
        <f t="shared" si="95"/>
        <v>250025</v>
      </c>
      <c r="B5394" s="8" t="str">
        <f>"2561406012813"</f>
        <v>2561406012813</v>
      </c>
      <c r="C5394" s="8" t="s">
        <v>12</v>
      </c>
      <c r="D5394" s="9">
        <v>48.53</v>
      </c>
      <c r="E5394" s="8">
        <v>202</v>
      </c>
    </row>
    <row r="5395" s="3" customFormat="1" ht="18.75" spans="1:5">
      <c r="A5395" s="8" t="str">
        <f t="shared" si="95"/>
        <v>250025</v>
      </c>
      <c r="B5395" s="8" t="str">
        <f>"2561406013423"</f>
        <v>2561406013423</v>
      </c>
      <c r="C5395" s="8" t="s">
        <v>12</v>
      </c>
      <c r="D5395" s="9">
        <v>48.27</v>
      </c>
      <c r="E5395" s="8">
        <v>203</v>
      </c>
    </row>
    <row r="5396" s="3" customFormat="1" ht="18.75" spans="1:5">
      <c r="A5396" s="8" t="str">
        <f t="shared" si="95"/>
        <v>250025</v>
      </c>
      <c r="B5396" s="8" t="str">
        <f>"2561406012625"</f>
        <v>2561406012625</v>
      </c>
      <c r="C5396" s="8" t="s">
        <v>12</v>
      </c>
      <c r="D5396" s="9">
        <v>48.2</v>
      </c>
      <c r="E5396" s="8">
        <v>204</v>
      </c>
    </row>
    <row r="5397" s="3" customFormat="1" ht="18.75" spans="1:5">
      <c r="A5397" s="8" t="str">
        <f t="shared" si="95"/>
        <v>250025</v>
      </c>
      <c r="B5397" s="8" t="str">
        <f>"2561406013120"</f>
        <v>2561406013120</v>
      </c>
      <c r="C5397" s="8" t="s">
        <v>12</v>
      </c>
      <c r="D5397" s="9">
        <v>47.6</v>
      </c>
      <c r="E5397" s="8">
        <v>205</v>
      </c>
    </row>
    <row r="5398" s="3" customFormat="1" ht="18.75" spans="1:5">
      <c r="A5398" s="8" t="str">
        <f t="shared" si="95"/>
        <v>250025</v>
      </c>
      <c r="B5398" s="8" t="str">
        <f>"2561406012628"</f>
        <v>2561406012628</v>
      </c>
      <c r="C5398" s="8" t="s">
        <v>12</v>
      </c>
      <c r="D5398" s="9">
        <v>47.14</v>
      </c>
      <c r="E5398" s="8">
        <v>206</v>
      </c>
    </row>
    <row r="5399" s="3" customFormat="1" ht="18.75" spans="1:5">
      <c r="A5399" s="8" t="str">
        <f t="shared" si="95"/>
        <v>250025</v>
      </c>
      <c r="B5399" s="8" t="str">
        <f>"2561406013317"</f>
        <v>2561406013317</v>
      </c>
      <c r="C5399" s="8" t="s">
        <v>12</v>
      </c>
      <c r="D5399" s="9">
        <v>46.85</v>
      </c>
      <c r="E5399" s="8">
        <v>207</v>
      </c>
    </row>
    <row r="5400" s="3" customFormat="1" ht="18.75" spans="1:5">
      <c r="A5400" s="8" t="str">
        <f t="shared" si="95"/>
        <v>250025</v>
      </c>
      <c r="B5400" s="8" t="str">
        <f>"2561406013404"</f>
        <v>2561406013404</v>
      </c>
      <c r="C5400" s="8" t="s">
        <v>12</v>
      </c>
      <c r="D5400" s="9">
        <v>46.45</v>
      </c>
      <c r="E5400" s="8">
        <v>208</v>
      </c>
    </row>
    <row r="5401" s="3" customFormat="1" ht="18.75" spans="1:5">
      <c r="A5401" s="8" t="str">
        <f t="shared" si="95"/>
        <v>250025</v>
      </c>
      <c r="B5401" s="8" t="str">
        <f>"2561406013509"</f>
        <v>2561406013509</v>
      </c>
      <c r="C5401" s="8" t="s">
        <v>12</v>
      </c>
      <c r="D5401" s="9">
        <v>46.27</v>
      </c>
      <c r="E5401" s="8">
        <v>209</v>
      </c>
    </row>
    <row r="5402" s="3" customFormat="1" ht="18.75" spans="1:5">
      <c r="A5402" s="8" t="str">
        <f t="shared" si="95"/>
        <v>250025</v>
      </c>
      <c r="B5402" s="8" t="str">
        <f>"2561406013714"</f>
        <v>2561406013714</v>
      </c>
      <c r="C5402" s="8" t="s">
        <v>12</v>
      </c>
      <c r="D5402" s="9">
        <v>46.13</v>
      </c>
      <c r="E5402" s="8">
        <v>210</v>
      </c>
    </row>
    <row r="5403" s="3" customFormat="1" ht="18.75" spans="1:5">
      <c r="A5403" s="8" t="str">
        <f t="shared" si="95"/>
        <v>250025</v>
      </c>
      <c r="B5403" s="8" t="str">
        <f>"2561406012712"</f>
        <v>2561406012712</v>
      </c>
      <c r="C5403" s="8" t="s">
        <v>12</v>
      </c>
      <c r="D5403" s="9">
        <v>45.61</v>
      </c>
      <c r="E5403" s="8">
        <v>211</v>
      </c>
    </row>
    <row r="5404" s="3" customFormat="1" ht="18.75" spans="1:5">
      <c r="A5404" s="8" t="str">
        <f t="shared" si="95"/>
        <v>250025</v>
      </c>
      <c r="B5404" s="8" t="str">
        <f>"2561406013727"</f>
        <v>2561406013727</v>
      </c>
      <c r="C5404" s="8" t="s">
        <v>12</v>
      </c>
      <c r="D5404" s="9">
        <v>45.56</v>
      </c>
      <c r="E5404" s="8">
        <v>212</v>
      </c>
    </row>
    <row r="5405" s="3" customFormat="1" ht="18.75" spans="1:5">
      <c r="A5405" s="8" t="str">
        <f t="shared" si="95"/>
        <v>250025</v>
      </c>
      <c r="B5405" s="8" t="str">
        <f>"2561406013425"</f>
        <v>2561406013425</v>
      </c>
      <c r="C5405" s="8" t="s">
        <v>12</v>
      </c>
      <c r="D5405" s="9">
        <v>45.46</v>
      </c>
      <c r="E5405" s="8">
        <v>213</v>
      </c>
    </row>
    <row r="5406" s="3" customFormat="1" ht="18.75" spans="1:5">
      <c r="A5406" s="8" t="str">
        <f t="shared" si="95"/>
        <v>250025</v>
      </c>
      <c r="B5406" s="8" t="str">
        <f>"2561406013618"</f>
        <v>2561406013618</v>
      </c>
      <c r="C5406" s="8" t="s">
        <v>12</v>
      </c>
      <c r="D5406" s="9">
        <v>44.72</v>
      </c>
      <c r="E5406" s="8">
        <v>214</v>
      </c>
    </row>
    <row r="5407" s="3" customFormat="1" ht="18.75" spans="1:5">
      <c r="A5407" s="8" t="str">
        <f t="shared" si="95"/>
        <v>250025</v>
      </c>
      <c r="B5407" s="8" t="str">
        <f>"2561406013617"</f>
        <v>2561406013617</v>
      </c>
      <c r="C5407" s="8" t="s">
        <v>12</v>
      </c>
      <c r="D5407" s="9">
        <v>44.53</v>
      </c>
      <c r="E5407" s="8">
        <v>215</v>
      </c>
    </row>
    <row r="5408" s="3" customFormat="1" ht="18.75" spans="1:5">
      <c r="A5408" s="8" t="str">
        <f t="shared" si="95"/>
        <v>250025</v>
      </c>
      <c r="B5408" s="8" t="str">
        <f>"2561406013222"</f>
        <v>2561406013222</v>
      </c>
      <c r="C5408" s="8" t="s">
        <v>12</v>
      </c>
      <c r="D5408" s="9">
        <v>43.95</v>
      </c>
      <c r="E5408" s="8">
        <v>216</v>
      </c>
    </row>
    <row r="5409" s="3" customFormat="1" ht="18.75" spans="1:5">
      <c r="A5409" s="8" t="str">
        <f t="shared" si="95"/>
        <v>250025</v>
      </c>
      <c r="B5409" s="8" t="str">
        <f>"2561406013526"</f>
        <v>2561406013526</v>
      </c>
      <c r="C5409" s="8" t="s">
        <v>12</v>
      </c>
      <c r="D5409" s="9">
        <v>43.67</v>
      </c>
      <c r="E5409" s="8">
        <v>217</v>
      </c>
    </row>
    <row r="5410" s="3" customFormat="1" ht="18.75" spans="1:5">
      <c r="A5410" s="8" t="str">
        <f t="shared" si="95"/>
        <v>250025</v>
      </c>
      <c r="B5410" s="8" t="str">
        <f>"2561406013102"</f>
        <v>2561406013102</v>
      </c>
      <c r="C5410" s="8" t="s">
        <v>12</v>
      </c>
      <c r="D5410" s="9">
        <v>42.57</v>
      </c>
      <c r="E5410" s="8">
        <v>218</v>
      </c>
    </row>
    <row r="5411" s="3" customFormat="1" ht="18.75" spans="1:5">
      <c r="A5411" s="8" t="str">
        <f t="shared" si="95"/>
        <v>250025</v>
      </c>
      <c r="B5411" s="8" t="str">
        <f>"2561406013723"</f>
        <v>2561406013723</v>
      </c>
      <c r="C5411" s="8" t="s">
        <v>12</v>
      </c>
      <c r="D5411" s="9">
        <v>42.31</v>
      </c>
      <c r="E5411" s="8">
        <v>219</v>
      </c>
    </row>
    <row r="5412" s="3" customFormat="1" ht="18.75" spans="1:5">
      <c r="A5412" s="8" t="str">
        <f t="shared" si="95"/>
        <v>250025</v>
      </c>
      <c r="B5412" s="8" t="str">
        <f>"2561406013426"</f>
        <v>2561406013426</v>
      </c>
      <c r="C5412" s="8" t="s">
        <v>12</v>
      </c>
      <c r="D5412" s="9">
        <v>42.26</v>
      </c>
      <c r="E5412" s="8">
        <v>220</v>
      </c>
    </row>
    <row r="5413" s="3" customFormat="1" ht="18.75" spans="1:5">
      <c r="A5413" s="8" t="str">
        <f t="shared" si="95"/>
        <v>250025</v>
      </c>
      <c r="B5413" s="8" t="str">
        <f>"2561406013810"</f>
        <v>2561406013810</v>
      </c>
      <c r="C5413" s="8" t="s">
        <v>12</v>
      </c>
      <c r="D5413" s="9">
        <v>41.61</v>
      </c>
      <c r="E5413" s="8">
        <v>221</v>
      </c>
    </row>
    <row r="5414" s="3" customFormat="1" ht="18.75" spans="1:5">
      <c r="A5414" s="8" t="str">
        <f t="shared" si="95"/>
        <v>250025</v>
      </c>
      <c r="B5414" s="8" t="str">
        <f>"2561406013227"</f>
        <v>2561406013227</v>
      </c>
      <c r="C5414" s="8" t="s">
        <v>12</v>
      </c>
      <c r="D5414" s="9">
        <v>40.84</v>
      </c>
      <c r="E5414" s="8">
        <v>222</v>
      </c>
    </row>
    <row r="5415" s="3" customFormat="1" ht="18.75" spans="1:5">
      <c r="A5415" s="8" t="str">
        <f t="shared" si="95"/>
        <v>250025</v>
      </c>
      <c r="B5415" s="8" t="str">
        <f>"2561406013725"</f>
        <v>2561406013725</v>
      </c>
      <c r="C5415" s="8" t="s">
        <v>12</v>
      </c>
      <c r="D5415" s="9">
        <v>40.18</v>
      </c>
      <c r="E5415" s="8">
        <v>223</v>
      </c>
    </row>
    <row r="5416" s="3" customFormat="1" ht="18.75" spans="1:5">
      <c r="A5416" s="8" t="str">
        <f t="shared" si="95"/>
        <v>250025</v>
      </c>
      <c r="B5416" s="8" t="str">
        <f>"2561406013709"</f>
        <v>2561406013709</v>
      </c>
      <c r="C5416" s="8" t="s">
        <v>12</v>
      </c>
      <c r="D5416" s="9">
        <v>39.55</v>
      </c>
      <c r="E5416" s="8">
        <v>224</v>
      </c>
    </row>
    <row r="5417" s="3" customFormat="1" ht="18.75" spans="1:5">
      <c r="A5417" s="8" t="str">
        <f t="shared" si="95"/>
        <v>250025</v>
      </c>
      <c r="B5417" s="8" t="str">
        <f>"2561406013706"</f>
        <v>2561406013706</v>
      </c>
      <c r="C5417" s="8" t="s">
        <v>12</v>
      </c>
      <c r="D5417" s="9">
        <v>37.67</v>
      </c>
      <c r="E5417" s="8">
        <v>225</v>
      </c>
    </row>
    <row r="5418" s="3" customFormat="1" ht="18.75" spans="1:5">
      <c r="A5418" s="8" t="str">
        <f t="shared" si="95"/>
        <v>250025</v>
      </c>
      <c r="B5418" s="8" t="str">
        <f>"2561406013408"</f>
        <v>2561406013408</v>
      </c>
      <c r="C5418" s="8" t="s">
        <v>12</v>
      </c>
      <c r="D5418" s="9">
        <v>36.32</v>
      </c>
      <c r="E5418" s="8">
        <v>226</v>
      </c>
    </row>
    <row r="5419" s="3" customFormat="1" ht="18.75" spans="1:5">
      <c r="A5419" s="8" t="str">
        <f t="shared" si="95"/>
        <v>250025</v>
      </c>
      <c r="B5419" s="8" t="str">
        <f>"2561406013113"</f>
        <v>2561406013113</v>
      </c>
      <c r="C5419" s="8" t="s">
        <v>12</v>
      </c>
      <c r="D5419" s="9">
        <v>34.96</v>
      </c>
      <c r="E5419" s="8">
        <v>227</v>
      </c>
    </row>
    <row r="5420" s="3" customFormat="1" ht="18.75" spans="1:5">
      <c r="A5420" s="8" t="str">
        <f t="shared" si="95"/>
        <v>250025</v>
      </c>
      <c r="B5420" s="8" t="str">
        <f>"2561406013114"</f>
        <v>2561406013114</v>
      </c>
      <c r="C5420" s="8" t="s">
        <v>12</v>
      </c>
      <c r="D5420" s="9">
        <v>28.1</v>
      </c>
      <c r="E5420" s="8">
        <v>228</v>
      </c>
    </row>
    <row r="5421" s="3" customFormat="1" ht="18.75" spans="1:5">
      <c r="A5421" s="8" t="str">
        <f t="shared" si="95"/>
        <v>250025</v>
      </c>
      <c r="B5421" s="8" t="str">
        <f>"2561406012603"</f>
        <v>2561406012603</v>
      </c>
      <c r="C5421" s="8" t="s">
        <v>12</v>
      </c>
      <c r="D5421" s="9">
        <v>0</v>
      </c>
      <c r="E5421" s="8">
        <v>229</v>
      </c>
    </row>
    <row r="5422" s="3" customFormat="1" ht="18.75" spans="1:5">
      <c r="A5422" s="8" t="str">
        <f t="shared" si="95"/>
        <v>250025</v>
      </c>
      <c r="B5422" s="8" t="str">
        <f>"2561406012610"</f>
        <v>2561406012610</v>
      </c>
      <c r="C5422" s="8" t="s">
        <v>12</v>
      </c>
      <c r="D5422" s="9">
        <v>0</v>
      </c>
      <c r="E5422" s="8">
        <v>229</v>
      </c>
    </row>
    <row r="5423" s="3" customFormat="1" ht="18.75" spans="1:5">
      <c r="A5423" s="8" t="str">
        <f t="shared" si="95"/>
        <v>250025</v>
      </c>
      <c r="B5423" s="8" t="str">
        <f>"2561406012613"</f>
        <v>2561406012613</v>
      </c>
      <c r="C5423" s="8" t="s">
        <v>12</v>
      </c>
      <c r="D5423" s="9">
        <v>0</v>
      </c>
      <c r="E5423" s="8">
        <v>229</v>
      </c>
    </row>
    <row r="5424" s="3" customFormat="1" ht="18.75" spans="1:5">
      <c r="A5424" s="8" t="str">
        <f t="shared" si="95"/>
        <v>250025</v>
      </c>
      <c r="B5424" s="8" t="str">
        <f>"2561406012614"</f>
        <v>2561406012614</v>
      </c>
      <c r="C5424" s="8" t="s">
        <v>12</v>
      </c>
      <c r="D5424" s="9">
        <v>0</v>
      </c>
      <c r="E5424" s="8">
        <v>229</v>
      </c>
    </row>
    <row r="5425" s="3" customFormat="1" ht="18.75" spans="1:5">
      <c r="A5425" s="8" t="str">
        <f t="shared" si="95"/>
        <v>250025</v>
      </c>
      <c r="B5425" s="8" t="str">
        <f>"2561406012616"</f>
        <v>2561406012616</v>
      </c>
      <c r="C5425" s="8" t="s">
        <v>12</v>
      </c>
      <c r="D5425" s="9">
        <v>0</v>
      </c>
      <c r="E5425" s="8">
        <v>229</v>
      </c>
    </row>
    <row r="5426" s="3" customFormat="1" ht="18.75" spans="1:5">
      <c r="A5426" s="8" t="str">
        <f t="shared" si="95"/>
        <v>250025</v>
      </c>
      <c r="B5426" s="8" t="str">
        <f>"2561406012629"</f>
        <v>2561406012629</v>
      </c>
      <c r="C5426" s="8" t="s">
        <v>12</v>
      </c>
      <c r="D5426" s="9">
        <v>0</v>
      </c>
      <c r="E5426" s="8">
        <v>229</v>
      </c>
    </row>
    <row r="5427" s="3" customFormat="1" ht="18.75" spans="1:5">
      <c r="A5427" s="8" t="str">
        <f t="shared" si="95"/>
        <v>250025</v>
      </c>
      <c r="B5427" s="8" t="str">
        <f>"2561406012630"</f>
        <v>2561406012630</v>
      </c>
      <c r="C5427" s="8" t="s">
        <v>12</v>
      </c>
      <c r="D5427" s="9">
        <v>0</v>
      </c>
      <c r="E5427" s="8">
        <v>229</v>
      </c>
    </row>
    <row r="5428" s="3" customFormat="1" ht="18.75" spans="1:5">
      <c r="A5428" s="8" t="str">
        <f t="shared" si="95"/>
        <v>250025</v>
      </c>
      <c r="B5428" s="8" t="str">
        <f>"2561406012703"</f>
        <v>2561406012703</v>
      </c>
      <c r="C5428" s="8" t="s">
        <v>12</v>
      </c>
      <c r="D5428" s="9">
        <v>0</v>
      </c>
      <c r="E5428" s="8">
        <v>229</v>
      </c>
    </row>
    <row r="5429" s="3" customFormat="1" ht="18.75" spans="1:5">
      <c r="A5429" s="8" t="str">
        <f t="shared" si="95"/>
        <v>250025</v>
      </c>
      <c r="B5429" s="8" t="str">
        <f>"2561406012705"</f>
        <v>2561406012705</v>
      </c>
      <c r="C5429" s="8" t="s">
        <v>12</v>
      </c>
      <c r="D5429" s="9">
        <v>0</v>
      </c>
      <c r="E5429" s="8">
        <v>229</v>
      </c>
    </row>
    <row r="5430" s="3" customFormat="1" ht="18.75" spans="1:5">
      <c r="A5430" s="8" t="str">
        <f t="shared" si="95"/>
        <v>250025</v>
      </c>
      <c r="B5430" s="8" t="str">
        <f>"2561406012707"</f>
        <v>2561406012707</v>
      </c>
      <c r="C5430" s="8" t="s">
        <v>12</v>
      </c>
      <c r="D5430" s="9">
        <v>0</v>
      </c>
      <c r="E5430" s="8">
        <v>229</v>
      </c>
    </row>
    <row r="5431" s="3" customFormat="1" ht="18.75" spans="1:5">
      <c r="A5431" s="8" t="str">
        <f t="shared" si="95"/>
        <v>250025</v>
      </c>
      <c r="B5431" s="8" t="str">
        <f>"2561406012709"</f>
        <v>2561406012709</v>
      </c>
      <c r="C5431" s="8" t="s">
        <v>12</v>
      </c>
      <c r="D5431" s="9">
        <v>0</v>
      </c>
      <c r="E5431" s="8">
        <v>229</v>
      </c>
    </row>
    <row r="5432" s="3" customFormat="1" ht="18.75" spans="1:5">
      <c r="A5432" s="8" t="str">
        <f t="shared" si="95"/>
        <v>250025</v>
      </c>
      <c r="B5432" s="8" t="str">
        <f>"2561406012716"</f>
        <v>2561406012716</v>
      </c>
      <c r="C5432" s="8" t="s">
        <v>12</v>
      </c>
      <c r="D5432" s="9">
        <v>0</v>
      </c>
      <c r="E5432" s="8">
        <v>229</v>
      </c>
    </row>
    <row r="5433" s="3" customFormat="1" ht="18.75" spans="1:5">
      <c r="A5433" s="8" t="str">
        <f t="shared" si="95"/>
        <v>250025</v>
      </c>
      <c r="B5433" s="8" t="str">
        <f>"2561406012718"</f>
        <v>2561406012718</v>
      </c>
      <c r="C5433" s="8" t="s">
        <v>12</v>
      </c>
      <c r="D5433" s="9">
        <v>0</v>
      </c>
      <c r="E5433" s="8">
        <v>229</v>
      </c>
    </row>
    <row r="5434" s="3" customFormat="1" ht="18.75" spans="1:5">
      <c r="A5434" s="8" t="str">
        <f t="shared" si="95"/>
        <v>250025</v>
      </c>
      <c r="B5434" s="8" t="str">
        <f>"2561406012719"</f>
        <v>2561406012719</v>
      </c>
      <c r="C5434" s="8" t="s">
        <v>12</v>
      </c>
      <c r="D5434" s="9">
        <v>0</v>
      </c>
      <c r="E5434" s="8">
        <v>229</v>
      </c>
    </row>
    <row r="5435" s="3" customFormat="1" ht="18.75" spans="1:5">
      <c r="A5435" s="8" t="str">
        <f t="shared" si="95"/>
        <v>250025</v>
      </c>
      <c r="B5435" s="8" t="str">
        <f>"2561406012726"</f>
        <v>2561406012726</v>
      </c>
      <c r="C5435" s="8" t="s">
        <v>12</v>
      </c>
      <c r="D5435" s="9">
        <v>0</v>
      </c>
      <c r="E5435" s="8">
        <v>229</v>
      </c>
    </row>
    <row r="5436" s="3" customFormat="1" ht="18.75" spans="1:5">
      <c r="A5436" s="8" t="str">
        <f t="shared" si="95"/>
        <v>250025</v>
      </c>
      <c r="B5436" s="8" t="str">
        <f>"2561406012727"</f>
        <v>2561406012727</v>
      </c>
      <c r="C5436" s="8" t="s">
        <v>12</v>
      </c>
      <c r="D5436" s="9">
        <v>0</v>
      </c>
      <c r="E5436" s="8">
        <v>229</v>
      </c>
    </row>
    <row r="5437" s="3" customFormat="1" ht="18.75" spans="1:5">
      <c r="A5437" s="8" t="str">
        <f t="shared" si="95"/>
        <v>250025</v>
      </c>
      <c r="B5437" s="8" t="str">
        <f>"2561406012729"</f>
        <v>2561406012729</v>
      </c>
      <c r="C5437" s="8" t="s">
        <v>12</v>
      </c>
      <c r="D5437" s="9">
        <v>0</v>
      </c>
      <c r="E5437" s="8">
        <v>229</v>
      </c>
    </row>
    <row r="5438" s="3" customFormat="1" ht="18.75" spans="1:5">
      <c r="A5438" s="8" t="str">
        <f t="shared" si="95"/>
        <v>250025</v>
      </c>
      <c r="B5438" s="8" t="str">
        <f>"2561406012802"</f>
        <v>2561406012802</v>
      </c>
      <c r="C5438" s="8" t="s">
        <v>12</v>
      </c>
      <c r="D5438" s="9">
        <v>0</v>
      </c>
      <c r="E5438" s="8">
        <v>229</v>
      </c>
    </row>
    <row r="5439" s="3" customFormat="1" ht="18.75" spans="1:5">
      <c r="A5439" s="8" t="str">
        <f t="shared" si="95"/>
        <v>250025</v>
      </c>
      <c r="B5439" s="8" t="str">
        <f>"2561406012805"</f>
        <v>2561406012805</v>
      </c>
      <c r="C5439" s="8" t="s">
        <v>12</v>
      </c>
      <c r="D5439" s="9">
        <v>0</v>
      </c>
      <c r="E5439" s="8">
        <v>229</v>
      </c>
    </row>
    <row r="5440" s="3" customFormat="1" ht="18.75" spans="1:5">
      <c r="A5440" s="8" t="str">
        <f t="shared" si="95"/>
        <v>250025</v>
      </c>
      <c r="B5440" s="8" t="str">
        <f>"2561406012806"</f>
        <v>2561406012806</v>
      </c>
      <c r="C5440" s="8" t="s">
        <v>12</v>
      </c>
      <c r="D5440" s="9">
        <v>0</v>
      </c>
      <c r="E5440" s="8">
        <v>229</v>
      </c>
    </row>
    <row r="5441" s="3" customFormat="1" ht="18.75" spans="1:5">
      <c r="A5441" s="8" t="str">
        <f t="shared" si="95"/>
        <v>250025</v>
      </c>
      <c r="B5441" s="8" t="str">
        <f>"2561406012808"</f>
        <v>2561406012808</v>
      </c>
      <c r="C5441" s="8" t="s">
        <v>12</v>
      </c>
      <c r="D5441" s="9">
        <v>0</v>
      </c>
      <c r="E5441" s="8">
        <v>229</v>
      </c>
    </row>
    <row r="5442" s="3" customFormat="1" ht="18.75" spans="1:5">
      <c r="A5442" s="8" t="str">
        <f t="shared" si="95"/>
        <v>250025</v>
      </c>
      <c r="B5442" s="8" t="str">
        <f>"2561406012810"</f>
        <v>2561406012810</v>
      </c>
      <c r="C5442" s="8" t="s">
        <v>12</v>
      </c>
      <c r="D5442" s="9">
        <v>0</v>
      </c>
      <c r="E5442" s="8">
        <v>229</v>
      </c>
    </row>
    <row r="5443" s="3" customFormat="1" ht="18.75" spans="1:5">
      <c r="A5443" s="8" t="str">
        <f t="shared" si="95"/>
        <v>250025</v>
      </c>
      <c r="B5443" s="8" t="str">
        <f>"2561406012819"</f>
        <v>2561406012819</v>
      </c>
      <c r="C5443" s="8" t="s">
        <v>12</v>
      </c>
      <c r="D5443" s="9">
        <v>0</v>
      </c>
      <c r="E5443" s="8">
        <v>229</v>
      </c>
    </row>
    <row r="5444" s="3" customFormat="1" ht="18.75" spans="1:5">
      <c r="A5444" s="8" t="str">
        <f t="shared" si="95"/>
        <v>250025</v>
      </c>
      <c r="B5444" s="8" t="str">
        <f>"2561406012820"</f>
        <v>2561406012820</v>
      </c>
      <c r="C5444" s="8" t="s">
        <v>12</v>
      </c>
      <c r="D5444" s="9">
        <v>0</v>
      </c>
      <c r="E5444" s="8">
        <v>229</v>
      </c>
    </row>
    <row r="5445" s="3" customFormat="1" ht="18.75" spans="1:5">
      <c r="A5445" s="8" t="str">
        <f t="shared" si="95"/>
        <v>250025</v>
      </c>
      <c r="B5445" s="8" t="str">
        <f>"2561406012822"</f>
        <v>2561406012822</v>
      </c>
      <c r="C5445" s="8" t="s">
        <v>12</v>
      </c>
      <c r="D5445" s="9">
        <v>0</v>
      </c>
      <c r="E5445" s="8">
        <v>229</v>
      </c>
    </row>
    <row r="5446" s="3" customFormat="1" ht="18.75" spans="1:5">
      <c r="A5446" s="8" t="str">
        <f t="shared" si="95"/>
        <v>250025</v>
      </c>
      <c r="B5446" s="8" t="str">
        <f>"2561406012830"</f>
        <v>2561406012830</v>
      </c>
      <c r="C5446" s="8" t="s">
        <v>12</v>
      </c>
      <c r="D5446" s="9">
        <v>0</v>
      </c>
      <c r="E5446" s="8">
        <v>229</v>
      </c>
    </row>
    <row r="5447" s="3" customFormat="1" ht="18.75" spans="1:5">
      <c r="A5447" s="8" t="str">
        <f t="shared" si="95"/>
        <v>250025</v>
      </c>
      <c r="B5447" s="8" t="str">
        <f>"2561406012902"</f>
        <v>2561406012902</v>
      </c>
      <c r="C5447" s="8" t="s">
        <v>12</v>
      </c>
      <c r="D5447" s="9">
        <v>0</v>
      </c>
      <c r="E5447" s="8">
        <v>229</v>
      </c>
    </row>
    <row r="5448" s="3" customFormat="1" ht="18.75" spans="1:5">
      <c r="A5448" s="8" t="str">
        <f t="shared" si="95"/>
        <v>250025</v>
      </c>
      <c r="B5448" s="8" t="str">
        <f>"2561406012904"</f>
        <v>2561406012904</v>
      </c>
      <c r="C5448" s="8" t="s">
        <v>12</v>
      </c>
      <c r="D5448" s="9">
        <v>0</v>
      </c>
      <c r="E5448" s="8">
        <v>229</v>
      </c>
    </row>
    <row r="5449" s="3" customFormat="1" ht="18.75" spans="1:5">
      <c r="A5449" s="8" t="str">
        <f t="shared" ref="A5449:A5512" si="96">"250025"</f>
        <v>250025</v>
      </c>
      <c r="B5449" s="8" t="str">
        <f>"2561406012905"</f>
        <v>2561406012905</v>
      </c>
      <c r="C5449" s="8" t="s">
        <v>12</v>
      </c>
      <c r="D5449" s="9">
        <v>0</v>
      </c>
      <c r="E5449" s="8">
        <v>229</v>
      </c>
    </row>
    <row r="5450" s="3" customFormat="1" ht="18.75" spans="1:5">
      <c r="A5450" s="8" t="str">
        <f t="shared" si="96"/>
        <v>250025</v>
      </c>
      <c r="B5450" s="8" t="str">
        <f>"2561406012907"</f>
        <v>2561406012907</v>
      </c>
      <c r="C5450" s="8" t="s">
        <v>12</v>
      </c>
      <c r="D5450" s="9">
        <v>0</v>
      </c>
      <c r="E5450" s="8">
        <v>229</v>
      </c>
    </row>
    <row r="5451" s="3" customFormat="1" ht="18.75" spans="1:5">
      <c r="A5451" s="8" t="str">
        <f t="shared" si="96"/>
        <v>250025</v>
      </c>
      <c r="B5451" s="8" t="str">
        <f>"2561406012910"</f>
        <v>2561406012910</v>
      </c>
      <c r="C5451" s="8" t="s">
        <v>12</v>
      </c>
      <c r="D5451" s="9">
        <v>0</v>
      </c>
      <c r="E5451" s="8">
        <v>229</v>
      </c>
    </row>
    <row r="5452" s="3" customFormat="1" ht="18.75" spans="1:5">
      <c r="A5452" s="8" t="str">
        <f t="shared" si="96"/>
        <v>250025</v>
      </c>
      <c r="B5452" s="8" t="str">
        <f>"2561406012913"</f>
        <v>2561406012913</v>
      </c>
      <c r="C5452" s="8" t="s">
        <v>12</v>
      </c>
      <c r="D5452" s="9">
        <v>0</v>
      </c>
      <c r="E5452" s="8">
        <v>229</v>
      </c>
    </row>
    <row r="5453" s="3" customFormat="1" ht="18.75" spans="1:5">
      <c r="A5453" s="8" t="str">
        <f t="shared" si="96"/>
        <v>250025</v>
      </c>
      <c r="B5453" s="8" t="str">
        <f>"2561406012916"</f>
        <v>2561406012916</v>
      </c>
      <c r="C5453" s="8" t="s">
        <v>12</v>
      </c>
      <c r="D5453" s="9">
        <v>0</v>
      </c>
      <c r="E5453" s="8">
        <v>229</v>
      </c>
    </row>
    <row r="5454" s="3" customFormat="1" ht="18.75" spans="1:5">
      <c r="A5454" s="8" t="str">
        <f t="shared" si="96"/>
        <v>250025</v>
      </c>
      <c r="B5454" s="8" t="str">
        <f>"2561406012923"</f>
        <v>2561406012923</v>
      </c>
      <c r="C5454" s="8" t="s">
        <v>12</v>
      </c>
      <c r="D5454" s="9">
        <v>0</v>
      </c>
      <c r="E5454" s="8">
        <v>229</v>
      </c>
    </row>
    <row r="5455" s="3" customFormat="1" ht="18.75" spans="1:5">
      <c r="A5455" s="8" t="str">
        <f t="shared" si="96"/>
        <v>250025</v>
      </c>
      <c r="B5455" s="8" t="str">
        <f>"2561406012924"</f>
        <v>2561406012924</v>
      </c>
      <c r="C5455" s="8" t="s">
        <v>12</v>
      </c>
      <c r="D5455" s="9">
        <v>0</v>
      </c>
      <c r="E5455" s="8">
        <v>229</v>
      </c>
    </row>
    <row r="5456" s="3" customFormat="1" ht="18.75" spans="1:5">
      <c r="A5456" s="8" t="str">
        <f t="shared" si="96"/>
        <v>250025</v>
      </c>
      <c r="B5456" s="8" t="str">
        <f>"2561406012925"</f>
        <v>2561406012925</v>
      </c>
      <c r="C5456" s="8" t="s">
        <v>12</v>
      </c>
      <c r="D5456" s="9">
        <v>0</v>
      </c>
      <c r="E5456" s="8">
        <v>229</v>
      </c>
    </row>
    <row r="5457" s="3" customFormat="1" ht="18.75" spans="1:5">
      <c r="A5457" s="8" t="str">
        <f t="shared" si="96"/>
        <v>250025</v>
      </c>
      <c r="B5457" s="8" t="str">
        <f>"2561406012926"</f>
        <v>2561406012926</v>
      </c>
      <c r="C5457" s="8" t="s">
        <v>12</v>
      </c>
      <c r="D5457" s="9">
        <v>0</v>
      </c>
      <c r="E5457" s="8">
        <v>229</v>
      </c>
    </row>
    <row r="5458" s="3" customFormat="1" ht="18.75" spans="1:5">
      <c r="A5458" s="8" t="str">
        <f t="shared" si="96"/>
        <v>250025</v>
      </c>
      <c r="B5458" s="8" t="str">
        <f>"2561406012929"</f>
        <v>2561406012929</v>
      </c>
      <c r="C5458" s="8" t="s">
        <v>12</v>
      </c>
      <c r="D5458" s="9">
        <v>0</v>
      </c>
      <c r="E5458" s="8">
        <v>229</v>
      </c>
    </row>
    <row r="5459" s="3" customFormat="1" ht="18.75" spans="1:5">
      <c r="A5459" s="8" t="str">
        <f t="shared" si="96"/>
        <v>250025</v>
      </c>
      <c r="B5459" s="8" t="str">
        <f>"2561406013004"</f>
        <v>2561406013004</v>
      </c>
      <c r="C5459" s="8" t="s">
        <v>12</v>
      </c>
      <c r="D5459" s="9">
        <v>0</v>
      </c>
      <c r="E5459" s="8">
        <v>229</v>
      </c>
    </row>
    <row r="5460" s="3" customFormat="1" ht="18.75" spans="1:5">
      <c r="A5460" s="8" t="str">
        <f t="shared" si="96"/>
        <v>250025</v>
      </c>
      <c r="B5460" s="8" t="str">
        <f>"2561406013005"</f>
        <v>2561406013005</v>
      </c>
      <c r="C5460" s="8" t="s">
        <v>12</v>
      </c>
      <c r="D5460" s="9">
        <v>0</v>
      </c>
      <c r="E5460" s="8">
        <v>229</v>
      </c>
    </row>
    <row r="5461" s="3" customFormat="1" ht="18.75" spans="1:5">
      <c r="A5461" s="8" t="str">
        <f t="shared" si="96"/>
        <v>250025</v>
      </c>
      <c r="B5461" s="8" t="str">
        <f>"2561406013006"</f>
        <v>2561406013006</v>
      </c>
      <c r="C5461" s="8" t="s">
        <v>12</v>
      </c>
      <c r="D5461" s="9">
        <v>0</v>
      </c>
      <c r="E5461" s="8">
        <v>229</v>
      </c>
    </row>
    <row r="5462" s="3" customFormat="1" ht="18.75" spans="1:5">
      <c r="A5462" s="8" t="str">
        <f t="shared" si="96"/>
        <v>250025</v>
      </c>
      <c r="B5462" s="8" t="str">
        <f>"2561406013009"</f>
        <v>2561406013009</v>
      </c>
      <c r="C5462" s="8" t="s">
        <v>12</v>
      </c>
      <c r="D5462" s="9">
        <v>0</v>
      </c>
      <c r="E5462" s="8">
        <v>229</v>
      </c>
    </row>
    <row r="5463" s="3" customFormat="1" ht="18.75" spans="1:5">
      <c r="A5463" s="8" t="str">
        <f t="shared" si="96"/>
        <v>250025</v>
      </c>
      <c r="B5463" s="8" t="str">
        <f>"2561406013011"</f>
        <v>2561406013011</v>
      </c>
      <c r="C5463" s="8" t="s">
        <v>12</v>
      </c>
      <c r="D5463" s="9">
        <v>0</v>
      </c>
      <c r="E5463" s="8">
        <v>229</v>
      </c>
    </row>
    <row r="5464" s="3" customFormat="1" ht="18.75" spans="1:5">
      <c r="A5464" s="8" t="str">
        <f t="shared" si="96"/>
        <v>250025</v>
      </c>
      <c r="B5464" s="8" t="str">
        <f>"2561406013013"</f>
        <v>2561406013013</v>
      </c>
      <c r="C5464" s="8" t="s">
        <v>12</v>
      </c>
      <c r="D5464" s="9">
        <v>0</v>
      </c>
      <c r="E5464" s="8">
        <v>229</v>
      </c>
    </row>
    <row r="5465" s="3" customFormat="1" ht="18.75" spans="1:5">
      <c r="A5465" s="8" t="str">
        <f t="shared" si="96"/>
        <v>250025</v>
      </c>
      <c r="B5465" s="8" t="str">
        <f>"2561406013014"</f>
        <v>2561406013014</v>
      </c>
      <c r="C5465" s="8" t="s">
        <v>12</v>
      </c>
      <c r="D5465" s="9">
        <v>0</v>
      </c>
      <c r="E5465" s="8">
        <v>229</v>
      </c>
    </row>
    <row r="5466" s="3" customFormat="1" ht="18.75" spans="1:5">
      <c r="A5466" s="8" t="str">
        <f t="shared" si="96"/>
        <v>250025</v>
      </c>
      <c r="B5466" s="8" t="str">
        <f>"2561406013017"</f>
        <v>2561406013017</v>
      </c>
      <c r="C5466" s="8" t="s">
        <v>12</v>
      </c>
      <c r="D5466" s="9">
        <v>0</v>
      </c>
      <c r="E5466" s="8">
        <v>229</v>
      </c>
    </row>
    <row r="5467" s="3" customFormat="1" ht="18.75" spans="1:5">
      <c r="A5467" s="8" t="str">
        <f t="shared" si="96"/>
        <v>250025</v>
      </c>
      <c r="B5467" s="8" t="str">
        <f>"2561406013022"</f>
        <v>2561406013022</v>
      </c>
      <c r="C5467" s="8" t="s">
        <v>12</v>
      </c>
      <c r="D5467" s="9">
        <v>0</v>
      </c>
      <c r="E5467" s="8">
        <v>229</v>
      </c>
    </row>
    <row r="5468" s="3" customFormat="1" ht="18.75" spans="1:5">
      <c r="A5468" s="8" t="str">
        <f t="shared" si="96"/>
        <v>250025</v>
      </c>
      <c r="B5468" s="8" t="str">
        <f>"2561406013023"</f>
        <v>2561406013023</v>
      </c>
      <c r="C5468" s="8" t="s">
        <v>12</v>
      </c>
      <c r="D5468" s="9">
        <v>0</v>
      </c>
      <c r="E5468" s="8">
        <v>229</v>
      </c>
    </row>
    <row r="5469" s="3" customFormat="1" ht="18.75" spans="1:5">
      <c r="A5469" s="8" t="str">
        <f t="shared" si="96"/>
        <v>250025</v>
      </c>
      <c r="B5469" s="8" t="str">
        <f>"2561406013024"</f>
        <v>2561406013024</v>
      </c>
      <c r="C5469" s="8" t="s">
        <v>12</v>
      </c>
      <c r="D5469" s="9">
        <v>0</v>
      </c>
      <c r="E5469" s="8">
        <v>229</v>
      </c>
    </row>
    <row r="5470" s="3" customFormat="1" ht="18.75" spans="1:5">
      <c r="A5470" s="8" t="str">
        <f t="shared" si="96"/>
        <v>250025</v>
      </c>
      <c r="B5470" s="8" t="str">
        <f>"2561406013025"</f>
        <v>2561406013025</v>
      </c>
      <c r="C5470" s="8" t="s">
        <v>12</v>
      </c>
      <c r="D5470" s="9">
        <v>0</v>
      </c>
      <c r="E5470" s="8">
        <v>229</v>
      </c>
    </row>
    <row r="5471" s="3" customFormat="1" ht="18.75" spans="1:5">
      <c r="A5471" s="8" t="str">
        <f t="shared" si="96"/>
        <v>250025</v>
      </c>
      <c r="B5471" s="8" t="str">
        <f>"2561406013029"</f>
        <v>2561406013029</v>
      </c>
      <c r="C5471" s="8" t="s">
        <v>12</v>
      </c>
      <c r="D5471" s="9">
        <v>0</v>
      </c>
      <c r="E5471" s="8">
        <v>229</v>
      </c>
    </row>
    <row r="5472" s="3" customFormat="1" ht="18.75" spans="1:5">
      <c r="A5472" s="8" t="str">
        <f t="shared" si="96"/>
        <v>250025</v>
      </c>
      <c r="B5472" s="8" t="str">
        <f>"2561406013030"</f>
        <v>2561406013030</v>
      </c>
      <c r="C5472" s="8" t="s">
        <v>12</v>
      </c>
      <c r="D5472" s="9">
        <v>0</v>
      </c>
      <c r="E5472" s="8">
        <v>229</v>
      </c>
    </row>
    <row r="5473" s="3" customFormat="1" ht="18.75" spans="1:5">
      <c r="A5473" s="8" t="str">
        <f t="shared" si="96"/>
        <v>250025</v>
      </c>
      <c r="B5473" s="8" t="str">
        <f>"2561406013103"</f>
        <v>2561406013103</v>
      </c>
      <c r="C5473" s="8" t="s">
        <v>12</v>
      </c>
      <c r="D5473" s="9">
        <v>0</v>
      </c>
      <c r="E5473" s="8">
        <v>229</v>
      </c>
    </row>
    <row r="5474" s="3" customFormat="1" ht="18.75" spans="1:5">
      <c r="A5474" s="8" t="str">
        <f t="shared" si="96"/>
        <v>250025</v>
      </c>
      <c r="B5474" s="8" t="str">
        <f>"2561406013104"</f>
        <v>2561406013104</v>
      </c>
      <c r="C5474" s="8" t="s">
        <v>12</v>
      </c>
      <c r="D5474" s="9">
        <v>0</v>
      </c>
      <c r="E5474" s="8">
        <v>229</v>
      </c>
    </row>
    <row r="5475" s="3" customFormat="1" ht="18.75" spans="1:5">
      <c r="A5475" s="8" t="str">
        <f t="shared" si="96"/>
        <v>250025</v>
      </c>
      <c r="B5475" s="8" t="str">
        <f>"2561406013105"</f>
        <v>2561406013105</v>
      </c>
      <c r="C5475" s="8" t="s">
        <v>12</v>
      </c>
      <c r="D5475" s="9">
        <v>0</v>
      </c>
      <c r="E5475" s="8">
        <v>229</v>
      </c>
    </row>
    <row r="5476" s="3" customFormat="1" ht="18.75" spans="1:5">
      <c r="A5476" s="8" t="str">
        <f t="shared" si="96"/>
        <v>250025</v>
      </c>
      <c r="B5476" s="8" t="str">
        <f>"2561406013107"</f>
        <v>2561406013107</v>
      </c>
      <c r="C5476" s="8" t="s">
        <v>12</v>
      </c>
      <c r="D5476" s="9">
        <v>0</v>
      </c>
      <c r="E5476" s="8">
        <v>229</v>
      </c>
    </row>
    <row r="5477" s="3" customFormat="1" ht="18.75" spans="1:5">
      <c r="A5477" s="8" t="str">
        <f t="shared" si="96"/>
        <v>250025</v>
      </c>
      <c r="B5477" s="8" t="str">
        <f>"2561406013108"</f>
        <v>2561406013108</v>
      </c>
      <c r="C5477" s="8" t="s">
        <v>12</v>
      </c>
      <c r="D5477" s="9">
        <v>0</v>
      </c>
      <c r="E5477" s="8">
        <v>229</v>
      </c>
    </row>
    <row r="5478" s="3" customFormat="1" ht="18.75" spans="1:5">
      <c r="A5478" s="8" t="str">
        <f t="shared" si="96"/>
        <v>250025</v>
      </c>
      <c r="B5478" s="8" t="str">
        <f>"2561406013111"</f>
        <v>2561406013111</v>
      </c>
      <c r="C5478" s="8" t="s">
        <v>12</v>
      </c>
      <c r="D5478" s="9">
        <v>0</v>
      </c>
      <c r="E5478" s="8">
        <v>229</v>
      </c>
    </row>
    <row r="5479" s="3" customFormat="1" ht="18.75" spans="1:5">
      <c r="A5479" s="8" t="str">
        <f t="shared" si="96"/>
        <v>250025</v>
      </c>
      <c r="B5479" s="8" t="str">
        <f>"2561406013112"</f>
        <v>2561406013112</v>
      </c>
      <c r="C5479" s="8" t="s">
        <v>12</v>
      </c>
      <c r="D5479" s="9">
        <v>0</v>
      </c>
      <c r="E5479" s="8">
        <v>229</v>
      </c>
    </row>
    <row r="5480" s="3" customFormat="1" ht="18.75" spans="1:5">
      <c r="A5480" s="8" t="str">
        <f t="shared" si="96"/>
        <v>250025</v>
      </c>
      <c r="B5480" s="8" t="str">
        <f>"2561406013116"</f>
        <v>2561406013116</v>
      </c>
      <c r="C5480" s="8" t="s">
        <v>12</v>
      </c>
      <c r="D5480" s="9">
        <v>0</v>
      </c>
      <c r="E5480" s="8">
        <v>229</v>
      </c>
    </row>
    <row r="5481" s="3" customFormat="1" ht="18.75" spans="1:5">
      <c r="A5481" s="8" t="str">
        <f t="shared" si="96"/>
        <v>250025</v>
      </c>
      <c r="B5481" s="8" t="str">
        <f>"2561406013118"</f>
        <v>2561406013118</v>
      </c>
      <c r="C5481" s="8" t="s">
        <v>12</v>
      </c>
      <c r="D5481" s="9">
        <v>0</v>
      </c>
      <c r="E5481" s="8">
        <v>229</v>
      </c>
    </row>
    <row r="5482" s="3" customFormat="1" ht="18.75" spans="1:5">
      <c r="A5482" s="8" t="str">
        <f t="shared" si="96"/>
        <v>250025</v>
      </c>
      <c r="B5482" s="8" t="str">
        <f>"2561406013119"</f>
        <v>2561406013119</v>
      </c>
      <c r="C5482" s="8" t="s">
        <v>12</v>
      </c>
      <c r="D5482" s="9">
        <v>0</v>
      </c>
      <c r="E5482" s="8">
        <v>229</v>
      </c>
    </row>
    <row r="5483" s="3" customFormat="1" ht="18.75" spans="1:5">
      <c r="A5483" s="8" t="str">
        <f t="shared" si="96"/>
        <v>250025</v>
      </c>
      <c r="B5483" s="8" t="str">
        <f>"2561406013123"</f>
        <v>2561406013123</v>
      </c>
      <c r="C5483" s="8" t="s">
        <v>12</v>
      </c>
      <c r="D5483" s="9">
        <v>0</v>
      </c>
      <c r="E5483" s="8">
        <v>229</v>
      </c>
    </row>
    <row r="5484" s="3" customFormat="1" ht="18.75" spans="1:5">
      <c r="A5484" s="8" t="str">
        <f t="shared" si="96"/>
        <v>250025</v>
      </c>
      <c r="B5484" s="8" t="str">
        <f>"2561406013125"</f>
        <v>2561406013125</v>
      </c>
      <c r="C5484" s="8" t="s">
        <v>12</v>
      </c>
      <c r="D5484" s="9">
        <v>0</v>
      </c>
      <c r="E5484" s="8">
        <v>229</v>
      </c>
    </row>
    <row r="5485" s="3" customFormat="1" ht="18.75" spans="1:5">
      <c r="A5485" s="8" t="str">
        <f t="shared" si="96"/>
        <v>250025</v>
      </c>
      <c r="B5485" s="8" t="str">
        <f>"2561406013127"</f>
        <v>2561406013127</v>
      </c>
      <c r="C5485" s="8" t="s">
        <v>12</v>
      </c>
      <c r="D5485" s="9">
        <v>0</v>
      </c>
      <c r="E5485" s="8">
        <v>229</v>
      </c>
    </row>
    <row r="5486" s="3" customFormat="1" ht="18.75" spans="1:5">
      <c r="A5486" s="8" t="str">
        <f t="shared" si="96"/>
        <v>250025</v>
      </c>
      <c r="B5486" s="8" t="str">
        <f>"2561406013128"</f>
        <v>2561406013128</v>
      </c>
      <c r="C5486" s="8" t="s">
        <v>12</v>
      </c>
      <c r="D5486" s="9">
        <v>0</v>
      </c>
      <c r="E5486" s="8">
        <v>229</v>
      </c>
    </row>
    <row r="5487" s="3" customFormat="1" ht="18.75" spans="1:5">
      <c r="A5487" s="8" t="str">
        <f t="shared" si="96"/>
        <v>250025</v>
      </c>
      <c r="B5487" s="8" t="str">
        <f>"2561406013129"</f>
        <v>2561406013129</v>
      </c>
      <c r="C5487" s="8" t="s">
        <v>12</v>
      </c>
      <c r="D5487" s="9">
        <v>0</v>
      </c>
      <c r="E5487" s="8">
        <v>229</v>
      </c>
    </row>
    <row r="5488" s="3" customFormat="1" ht="18.75" spans="1:5">
      <c r="A5488" s="8" t="str">
        <f t="shared" si="96"/>
        <v>250025</v>
      </c>
      <c r="B5488" s="8" t="str">
        <f>"2561406013130"</f>
        <v>2561406013130</v>
      </c>
      <c r="C5488" s="8" t="s">
        <v>12</v>
      </c>
      <c r="D5488" s="9">
        <v>0</v>
      </c>
      <c r="E5488" s="8">
        <v>229</v>
      </c>
    </row>
    <row r="5489" s="3" customFormat="1" ht="18.75" spans="1:5">
      <c r="A5489" s="8" t="str">
        <f t="shared" si="96"/>
        <v>250025</v>
      </c>
      <c r="B5489" s="8" t="str">
        <f>"2561406013202"</f>
        <v>2561406013202</v>
      </c>
      <c r="C5489" s="8" t="s">
        <v>12</v>
      </c>
      <c r="D5489" s="9">
        <v>0</v>
      </c>
      <c r="E5489" s="8">
        <v>229</v>
      </c>
    </row>
    <row r="5490" s="3" customFormat="1" ht="18.75" spans="1:5">
      <c r="A5490" s="8" t="str">
        <f t="shared" si="96"/>
        <v>250025</v>
      </c>
      <c r="B5490" s="8" t="str">
        <f>"2561406013208"</f>
        <v>2561406013208</v>
      </c>
      <c r="C5490" s="8" t="s">
        <v>12</v>
      </c>
      <c r="D5490" s="9">
        <v>0</v>
      </c>
      <c r="E5490" s="8">
        <v>229</v>
      </c>
    </row>
    <row r="5491" s="3" customFormat="1" ht="18.75" spans="1:5">
      <c r="A5491" s="8" t="str">
        <f t="shared" si="96"/>
        <v>250025</v>
      </c>
      <c r="B5491" s="8" t="str">
        <f>"2561406013209"</f>
        <v>2561406013209</v>
      </c>
      <c r="C5491" s="8" t="s">
        <v>12</v>
      </c>
      <c r="D5491" s="9">
        <v>0</v>
      </c>
      <c r="E5491" s="8">
        <v>229</v>
      </c>
    </row>
    <row r="5492" s="3" customFormat="1" ht="18.75" spans="1:5">
      <c r="A5492" s="8" t="str">
        <f t="shared" si="96"/>
        <v>250025</v>
      </c>
      <c r="B5492" s="8" t="str">
        <f>"2561406013210"</f>
        <v>2561406013210</v>
      </c>
      <c r="C5492" s="8" t="s">
        <v>12</v>
      </c>
      <c r="D5492" s="9">
        <v>0</v>
      </c>
      <c r="E5492" s="8">
        <v>229</v>
      </c>
    </row>
    <row r="5493" s="3" customFormat="1" ht="18.75" spans="1:5">
      <c r="A5493" s="8" t="str">
        <f t="shared" si="96"/>
        <v>250025</v>
      </c>
      <c r="B5493" s="8" t="str">
        <f>"2561406013215"</f>
        <v>2561406013215</v>
      </c>
      <c r="C5493" s="8" t="s">
        <v>12</v>
      </c>
      <c r="D5493" s="9">
        <v>0</v>
      </c>
      <c r="E5493" s="8">
        <v>229</v>
      </c>
    </row>
    <row r="5494" s="3" customFormat="1" ht="18.75" spans="1:5">
      <c r="A5494" s="8" t="str">
        <f t="shared" si="96"/>
        <v>250025</v>
      </c>
      <c r="B5494" s="8" t="str">
        <f>"2561406013216"</f>
        <v>2561406013216</v>
      </c>
      <c r="C5494" s="8" t="s">
        <v>12</v>
      </c>
      <c r="D5494" s="9">
        <v>0</v>
      </c>
      <c r="E5494" s="8">
        <v>229</v>
      </c>
    </row>
    <row r="5495" s="3" customFormat="1" ht="18.75" spans="1:5">
      <c r="A5495" s="8" t="str">
        <f t="shared" si="96"/>
        <v>250025</v>
      </c>
      <c r="B5495" s="8" t="str">
        <f>"2561406013217"</f>
        <v>2561406013217</v>
      </c>
      <c r="C5495" s="8" t="s">
        <v>12</v>
      </c>
      <c r="D5495" s="9">
        <v>0</v>
      </c>
      <c r="E5495" s="8">
        <v>229</v>
      </c>
    </row>
    <row r="5496" s="3" customFormat="1" ht="18.75" spans="1:5">
      <c r="A5496" s="8" t="str">
        <f t="shared" si="96"/>
        <v>250025</v>
      </c>
      <c r="B5496" s="8" t="str">
        <f>"2561406013219"</f>
        <v>2561406013219</v>
      </c>
      <c r="C5496" s="8" t="s">
        <v>12</v>
      </c>
      <c r="D5496" s="9">
        <v>0</v>
      </c>
      <c r="E5496" s="8">
        <v>229</v>
      </c>
    </row>
    <row r="5497" s="3" customFormat="1" ht="18.75" spans="1:5">
      <c r="A5497" s="8" t="str">
        <f t="shared" si="96"/>
        <v>250025</v>
      </c>
      <c r="B5497" s="8" t="str">
        <f>"2561406013220"</f>
        <v>2561406013220</v>
      </c>
      <c r="C5497" s="8" t="s">
        <v>12</v>
      </c>
      <c r="D5497" s="9">
        <v>0</v>
      </c>
      <c r="E5497" s="8">
        <v>229</v>
      </c>
    </row>
    <row r="5498" s="3" customFormat="1" ht="18.75" spans="1:5">
      <c r="A5498" s="8" t="str">
        <f t="shared" si="96"/>
        <v>250025</v>
      </c>
      <c r="B5498" s="8" t="str">
        <f>"2561406013301"</f>
        <v>2561406013301</v>
      </c>
      <c r="C5498" s="8" t="s">
        <v>12</v>
      </c>
      <c r="D5498" s="9">
        <v>0</v>
      </c>
      <c r="E5498" s="8">
        <v>229</v>
      </c>
    </row>
    <row r="5499" s="3" customFormat="1" ht="18.75" spans="1:5">
      <c r="A5499" s="8" t="str">
        <f t="shared" si="96"/>
        <v>250025</v>
      </c>
      <c r="B5499" s="8" t="str">
        <f>"2561406013302"</f>
        <v>2561406013302</v>
      </c>
      <c r="C5499" s="8" t="s">
        <v>12</v>
      </c>
      <c r="D5499" s="9">
        <v>0</v>
      </c>
      <c r="E5499" s="8">
        <v>229</v>
      </c>
    </row>
    <row r="5500" s="3" customFormat="1" ht="18.75" spans="1:5">
      <c r="A5500" s="8" t="str">
        <f t="shared" si="96"/>
        <v>250025</v>
      </c>
      <c r="B5500" s="8" t="str">
        <f>"2561406013304"</f>
        <v>2561406013304</v>
      </c>
      <c r="C5500" s="8" t="s">
        <v>12</v>
      </c>
      <c r="D5500" s="9">
        <v>0</v>
      </c>
      <c r="E5500" s="8">
        <v>229</v>
      </c>
    </row>
    <row r="5501" s="3" customFormat="1" ht="18.75" spans="1:5">
      <c r="A5501" s="8" t="str">
        <f t="shared" si="96"/>
        <v>250025</v>
      </c>
      <c r="B5501" s="8" t="str">
        <f>"2561406013305"</f>
        <v>2561406013305</v>
      </c>
      <c r="C5501" s="8" t="s">
        <v>12</v>
      </c>
      <c r="D5501" s="9">
        <v>0</v>
      </c>
      <c r="E5501" s="8">
        <v>229</v>
      </c>
    </row>
    <row r="5502" s="3" customFormat="1" ht="18.75" spans="1:5">
      <c r="A5502" s="8" t="str">
        <f t="shared" si="96"/>
        <v>250025</v>
      </c>
      <c r="B5502" s="8" t="str">
        <f>"2561406013308"</f>
        <v>2561406013308</v>
      </c>
      <c r="C5502" s="8" t="s">
        <v>12</v>
      </c>
      <c r="D5502" s="9">
        <v>0</v>
      </c>
      <c r="E5502" s="8">
        <v>229</v>
      </c>
    </row>
    <row r="5503" s="3" customFormat="1" ht="18.75" spans="1:5">
      <c r="A5503" s="8" t="str">
        <f t="shared" si="96"/>
        <v>250025</v>
      </c>
      <c r="B5503" s="8" t="str">
        <f>"2561406013310"</f>
        <v>2561406013310</v>
      </c>
      <c r="C5503" s="8" t="s">
        <v>12</v>
      </c>
      <c r="D5503" s="9">
        <v>0</v>
      </c>
      <c r="E5503" s="8">
        <v>229</v>
      </c>
    </row>
    <row r="5504" s="3" customFormat="1" ht="18.75" spans="1:5">
      <c r="A5504" s="8" t="str">
        <f t="shared" si="96"/>
        <v>250025</v>
      </c>
      <c r="B5504" s="8" t="str">
        <f>"2561406013312"</f>
        <v>2561406013312</v>
      </c>
      <c r="C5504" s="8" t="s">
        <v>12</v>
      </c>
      <c r="D5504" s="9">
        <v>0</v>
      </c>
      <c r="E5504" s="8">
        <v>229</v>
      </c>
    </row>
    <row r="5505" s="3" customFormat="1" ht="18.75" spans="1:5">
      <c r="A5505" s="8" t="str">
        <f t="shared" si="96"/>
        <v>250025</v>
      </c>
      <c r="B5505" s="8" t="str">
        <f>"2561406013323"</f>
        <v>2561406013323</v>
      </c>
      <c r="C5505" s="8" t="s">
        <v>12</v>
      </c>
      <c r="D5505" s="9">
        <v>0</v>
      </c>
      <c r="E5505" s="8">
        <v>229</v>
      </c>
    </row>
    <row r="5506" s="3" customFormat="1" ht="18.75" spans="1:5">
      <c r="A5506" s="8" t="str">
        <f t="shared" si="96"/>
        <v>250025</v>
      </c>
      <c r="B5506" s="8" t="str">
        <f>"2561406013324"</f>
        <v>2561406013324</v>
      </c>
      <c r="C5506" s="8" t="s">
        <v>12</v>
      </c>
      <c r="D5506" s="9">
        <v>0</v>
      </c>
      <c r="E5506" s="8">
        <v>229</v>
      </c>
    </row>
    <row r="5507" s="3" customFormat="1" ht="18.75" spans="1:5">
      <c r="A5507" s="8" t="str">
        <f t="shared" si="96"/>
        <v>250025</v>
      </c>
      <c r="B5507" s="8" t="str">
        <f>"2561406013325"</f>
        <v>2561406013325</v>
      </c>
      <c r="C5507" s="8" t="s">
        <v>12</v>
      </c>
      <c r="D5507" s="9">
        <v>0</v>
      </c>
      <c r="E5507" s="8">
        <v>229</v>
      </c>
    </row>
    <row r="5508" s="3" customFormat="1" ht="18.75" spans="1:5">
      <c r="A5508" s="8" t="str">
        <f t="shared" si="96"/>
        <v>250025</v>
      </c>
      <c r="B5508" s="8" t="str">
        <f>"2561406013326"</f>
        <v>2561406013326</v>
      </c>
      <c r="C5508" s="8" t="s">
        <v>12</v>
      </c>
      <c r="D5508" s="9">
        <v>0</v>
      </c>
      <c r="E5508" s="8">
        <v>229</v>
      </c>
    </row>
    <row r="5509" s="3" customFormat="1" ht="18.75" spans="1:5">
      <c r="A5509" s="8" t="str">
        <f t="shared" si="96"/>
        <v>250025</v>
      </c>
      <c r="B5509" s="8" t="str">
        <f>"2561406013329"</f>
        <v>2561406013329</v>
      </c>
      <c r="C5509" s="8" t="s">
        <v>12</v>
      </c>
      <c r="D5509" s="9">
        <v>0</v>
      </c>
      <c r="E5509" s="8">
        <v>229</v>
      </c>
    </row>
    <row r="5510" s="3" customFormat="1" ht="18.75" spans="1:5">
      <c r="A5510" s="8" t="str">
        <f t="shared" si="96"/>
        <v>250025</v>
      </c>
      <c r="B5510" s="8" t="str">
        <f>"2561406013402"</f>
        <v>2561406013402</v>
      </c>
      <c r="C5510" s="8" t="s">
        <v>12</v>
      </c>
      <c r="D5510" s="9">
        <v>0</v>
      </c>
      <c r="E5510" s="8">
        <v>229</v>
      </c>
    </row>
    <row r="5511" s="3" customFormat="1" ht="18.75" spans="1:5">
      <c r="A5511" s="8" t="str">
        <f t="shared" si="96"/>
        <v>250025</v>
      </c>
      <c r="B5511" s="8" t="str">
        <f>"2561406013407"</f>
        <v>2561406013407</v>
      </c>
      <c r="C5511" s="8" t="s">
        <v>12</v>
      </c>
      <c r="D5511" s="9">
        <v>0</v>
      </c>
      <c r="E5511" s="8">
        <v>229</v>
      </c>
    </row>
    <row r="5512" s="3" customFormat="1" ht="18.75" spans="1:5">
      <c r="A5512" s="8" t="str">
        <f t="shared" si="96"/>
        <v>250025</v>
      </c>
      <c r="B5512" s="8" t="str">
        <f>"2561406013411"</f>
        <v>2561406013411</v>
      </c>
      <c r="C5512" s="8" t="s">
        <v>12</v>
      </c>
      <c r="D5512" s="9">
        <v>0</v>
      </c>
      <c r="E5512" s="8">
        <v>229</v>
      </c>
    </row>
    <row r="5513" s="3" customFormat="1" ht="18.75" spans="1:5">
      <c r="A5513" s="8" t="str">
        <f t="shared" ref="A5513:A5561" si="97">"250025"</f>
        <v>250025</v>
      </c>
      <c r="B5513" s="8" t="str">
        <f>"2561406013412"</f>
        <v>2561406013412</v>
      </c>
      <c r="C5513" s="8" t="s">
        <v>12</v>
      </c>
      <c r="D5513" s="9">
        <v>0</v>
      </c>
      <c r="E5513" s="8">
        <v>229</v>
      </c>
    </row>
    <row r="5514" s="3" customFormat="1" ht="18.75" spans="1:5">
      <c r="A5514" s="8" t="str">
        <f t="shared" si="97"/>
        <v>250025</v>
      </c>
      <c r="B5514" s="8" t="str">
        <f>"2561406013413"</f>
        <v>2561406013413</v>
      </c>
      <c r="C5514" s="8" t="s">
        <v>12</v>
      </c>
      <c r="D5514" s="9">
        <v>0</v>
      </c>
      <c r="E5514" s="8">
        <v>229</v>
      </c>
    </row>
    <row r="5515" s="3" customFormat="1" ht="18.75" spans="1:5">
      <c r="A5515" s="8" t="str">
        <f t="shared" si="97"/>
        <v>250025</v>
      </c>
      <c r="B5515" s="8" t="str">
        <f>"2561406013415"</f>
        <v>2561406013415</v>
      </c>
      <c r="C5515" s="8" t="s">
        <v>12</v>
      </c>
      <c r="D5515" s="9">
        <v>0</v>
      </c>
      <c r="E5515" s="8">
        <v>229</v>
      </c>
    </row>
    <row r="5516" s="3" customFormat="1" ht="18.75" spans="1:5">
      <c r="A5516" s="8" t="str">
        <f t="shared" si="97"/>
        <v>250025</v>
      </c>
      <c r="B5516" s="8" t="str">
        <f>"2561406013418"</f>
        <v>2561406013418</v>
      </c>
      <c r="C5516" s="8" t="s">
        <v>12</v>
      </c>
      <c r="D5516" s="9">
        <v>0</v>
      </c>
      <c r="E5516" s="8">
        <v>229</v>
      </c>
    </row>
    <row r="5517" s="3" customFormat="1" ht="18.75" spans="1:5">
      <c r="A5517" s="8" t="str">
        <f t="shared" si="97"/>
        <v>250025</v>
      </c>
      <c r="B5517" s="8" t="str">
        <f>"2561406013421"</f>
        <v>2561406013421</v>
      </c>
      <c r="C5517" s="8" t="s">
        <v>12</v>
      </c>
      <c r="D5517" s="9">
        <v>0</v>
      </c>
      <c r="E5517" s="8">
        <v>229</v>
      </c>
    </row>
    <row r="5518" s="3" customFormat="1" ht="18.75" spans="1:5">
      <c r="A5518" s="8" t="str">
        <f t="shared" si="97"/>
        <v>250025</v>
      </c>
      <c r="B5518" s="8" t="str">
        <f>"2561406013424"</f>
        <v>2561406013424</v>
      </c>
      <c r="C5518" s="8" t="s">
        <v>12</v>
      </c>
      <c r="D5518" s="9">
        <v>0</v>
      </c>
      <c r="E5518" s="8">
        <v>229</v>
      </c>
    </row>
    <row r="5519" s="3" customFormat="1" ht="18.75" spans="1:5">
      <c r="A5519" s="8" t="str">
        <f t="shared" si="97"/>
        <v>250025</v>
      </c>
      <c r="B5519" s="8" t="str">
        <f>"2561406013501"</f>
        <v>2561406013501</v>
      </c>
      <c r="C5519" s="8" t="s">
        <v>12</v>
      </c>
      <c r="D5519" s="9">
        <v>0</v>
      </c>
      <c r="E5519" s="8">
        <v>229</v>
      </c>
    </row>
    <row r="5520" s="3" customFormat="1" ht="18.75" spans="1:5">
      <c r="A5520" s="8" t="str">
        <f t="shared" si="97"/>
        <v>250025</v>
      </c>
      <c r="B5520" s="8" t="str">
        <f>"2561406013503"</f>
        <v>2561406013503</v>
      </c>
      <c r="C5520" s="8" t="s">
        <v>12</v>
      </c>
      <c r="D5520" s="9">
        <v>0</v>
      </c>
      <c r="E5520" s="8">
        <v>229</v>
      </c>
    </row>
    <row r="5521" s="3" customFormat="1" ht="18.75" spans="1:5">
      <c r="A5521" s="8" t="str">
        <f t="shared" si="97"/>
        <v>250025</v>
      </c>
      <c r="B5521" s="8" t="str">
        <f>"2561406013504"</f>
        <v>2561406013504</v>
      </c>
      <c r="C5521" s="8" t="s">
        <v>12</v>
      </c>
      <c r="D5521" s="9">
        <v>0</v>
      </c>
      <c r="E5521" s="8">
        <v>229</v>
      </c>
    </row>
    <row r="5522" s="3" customFormat="1" ht="18.75" spans="1:5">
      <c r="A5522" s="8" t="str">
        <f t="shared" si="97"/>
        <v>250025</v>
      </c>
      <c r="B5522" s="8" t="str">
        <f>"2561406013507"</f>
        <v>2561406013507</v>
      </c>
      <c r="C5522" s="8" t="s">
        <v>12</v>
      </c>
      <c r="D5522" s="9">
        <v>0</v>
      </c>
      <c r="E5522" s="8">
        <v>229</v>
      </c>
    </row>
    <row r="5523" s="3" customFormat="1" ht="18.75" spans="1:5">
      <c r="A5523" s="8" t="str">
        <f t="shared" si="97"/>
        <v>250025</v>
      </c>
      <c r="B5523" s="8" t="str">
        <f>"2561406013508"</f>
        <v>2561406013508</v>
      </c>
      <c r="C5523" s="8" t="s">
        <v>12</v>
      </c>
      <c r="D5523" s="9">
        <v>0</v>
      </c>
      <c r="E5523" s="8">
        <v>229</v>
      </c>
    </row>
    <row r="5524" s="3" customFormat="1" ht="18.75" spans="1:5">
      <c r="A5524" s="8" t="str">
        <f t="shared" si="97"/>
        <v>250025</v>
      </c>
      <c r="B5524" s="8" t="str">
        <f>"2561406013511"</f>
        <v>2561406013511</v>
      </c>
      <c r="C5524" s="8" t="s">
        <v>12</v>
      </c>
      <c r="D5524" s="9">
        <v>0</v>
      </c>
      <c r="E5524" s="8">
        <v>229</v>
      </c>
    </row>
    <row r="5525" s="3" customFormat="1" ht="18.75" spans="1:5">
      <c r="A5525" s="8" t="str">
        <f t="shared" si="97"/>
        <v>250025</v>
      </c>
      <c r="B5525" s="8" t="str">
        <f>"2561406013512"</f>
        <v>2561406013512</v>
      </c>
      <c r="C5525" s="8" t="s">
        <v>12</v>
      </c>
      <c r="D5525" s="9">
        <v>0</v>
      </c>
      <c r="E5525" s="8">
        <v>229</v>
      </c>
    </row>
    <row r="5526" s="3" customFormat="1" ht="18.75" spans="1:5">
      <c r="A5526" s="8" t="str">
        <f t="shared" si="97"/>
        <v>250025</v>
      </c>
      <c r="B5526" s="8" t="str">
        <f>"2561406013513"</f>
        <v>2561406013513</v>
      </c>
      <c r="C5526" s="8" t="s">
        <v>12</v>
      </c>
      <c r="D5526" s="9">
        <v>0</v>
      </c>
      <c r="E5526" s="8">
        <v>229</v>
      </c>
    </row>
    <row r="5527" s="3" customFormat="1" ht="18.75" spans="1:5">
      <c r="A5527" s="8" t="str">
        <f t="shared" si="97"/>
        <v>250025</v>
      </c>
      <c r="B5527" s="8" t="str">
        <f>"2561406013514"</f>
        <v>2561406013514</v>
      </c>
      <c r="C5527" s="8" t="s">
        <v>12</v>
      </c>
      <c r="D5527" s="9">
        <v>0</v>
      </c>
      <c r="E5527" s="8">
        <v>229</v>
      </c>
    </row>
    <row r="5528" s="3" customFormat="1" ht="18.75" spans="1:5">
      <c r="A5528" s="8" t="str">
        <f t="shared" si="97"/>
        <v>250025</v>
      </c>
      <c r="B5528" s="8" t="str">
        <f>"2561406013515"</f>
        <v>2561406013515</v>
      </c>
      <c r="C5528" s="8" t="s">
        <v>12</v>
      </c>
      <c r="D5528" s="9">
        <v>0</v>
      </c>
      <c r="E5528" s="8">
        <v>229</v>
      </c>
    </row>
    <row r="5529" s="3" customFormat="1" ht="18.75" spans="1:5">
      <c r="A5529" s="8" t="str">
        <f t="shared" si="97"/>
        <v>250025</v>
      </c>
      <c r="B5529" s="8" t="str">
        <f>"2561406013519"</f>
        <v>2561406013519</v>
      </c>
      <c r="C5529" s="8" t="s">
        <v>12</v>
      </c>
      <c r="D5529" s="9">
        <v>0</v>
      </c>
      <c r="E5529" s="8">
        <v>229</v>
      </c>
    </row>
    <row r="5530" s="3" customFormat="1" ht="18.75" spans="1:5">
      <c r="A5530" s="8" t="str">
        <f t="shared" si="97"/>
        <v>250025</v>
      </c>
      <c r="B5530" s="8" t="str">
        <f>"2561406013520"</f>
        <v>2561406013520</v>
      </c>
      <c r="C5530" s="8" t="s">
        <v>12</v>
      </c>
      <c r="D5530" s="9">
        <v>0</v>
      </c>
      <c r="E5530" s="8">
        <v>229</v>
      </c>
    </row>
    <row r="5531" s="3" customFormat="1" ht="18.75" spans="1:5">
      <c r="A5531" s="8" t="str">
        <f t="shared" si="97"/>
        <v>250025</v>
      </c>
      <c r="B5531" s="8" t="str">
        <f>"2561406013522"</f>
        <v>2561406013522</v>
      </c>
      <c r="C5531" s="8" t="s">
        <v>12</v>
      </c>
      <c r="D5531" s="9">
        <v>0</v>
      </c>
      <c r="E5531" s="8">
        <v>229</v>
      </c>
    </row>
    <row r="5532" s="3" customFormat="1" ht="18.75" spans="1:5">
      <c r="A5532" s="8" t="str">
        <f t="shared" si="97"/>
        <v>250025</v>
      </c>
      <c r="B5532" s="8" t="str">
        <f>"2561406013524"</f>
        <v>2561406013524</v>
      </c>
      <c r="C5532" s="8" t="s">
        <v>12</v>
      </c>
      <c r="D5532" s="9">
        <v>0</v>
      </c>
      <c r="E5532" s="8">
        <v>229</v>
      </c>
    </row>
    <row r="5533" s="3" customFormat="1" ht="18.75" spans="1:5">
      <c r="A5533" s="8" t="str">
        <f t="shared" si="97"/>
        <v>250025</v>
      </c>
      <c r="B5533" s="8" t="str">
        <f>"2561406013525"</f>
        <v>2561406013525</v>
      </c>
      <c r="C5533" s="8" t="s">
        <v>12</v>
      </c>
      <c r="D5533" s="9">
        <v>0</v>
      </c>
      <c r="E5533" s="8">
        <v>229</v>
      </c>
    </row>
    <row r="5534" s="3" customFormat="1" ht="18.75" spans="1:5">
      <c r="A5534" s="8" t="str">
        <f t="shared" si="97"/>
        <v>250025</v>
      </c>
      <c r="B5534" s="8" t="str">
        <f>"2561406013527"</f>
        <v>2561406013527</v>
      </c>
      <c r="C5534" s="8" t="s">
        <v>12</v>
      </c>
      <c r="D5534" s="9">
        <v>0</v>
      </c>
      <c r="E5534" s="8">
        <v>229</v>
      </c>
    </row>
    <row r="5535" s="3" customFormat="1" ht="18.75" spans="1:5">
      <c r="A5535" s="8" t="str">
        <f t="shared" si="97"/>
        <v>250025</v>
      </c>
      <c r="B5535" s="8" t="str">
        <f>"2561406013528"</f>
        <v>2561406013528</v>
      </c>
      <c r="C5535" s="8" t="s">
        <v>12</v>
      </c>
      <c r="D5535" s="9">
        <v>0</v>
      </c>
      <c r="E5535" s="8">
        <v>229</v>
      </c>
    </row>
    <row r="5536" s="3" customFormat="1" ht="18.75" spans="1:5">
      <c r="A5536" s="8" t="str">
        <f t="shared" si="97"/>
        <v>250025</v>
      </c>
      <c r="B5536" s="8" t="str">
        <f>"2561406013530"</f>
        <v>2561406013530</v>
      </c>
      <c r="C5536" s="8" t="s">
        <v>12</v>
      </c>
      <c r="D5536" s="9">
        <v>0</v>
      </c>
      <c r="E5536" s="8">
        <v>229</v>
      </c>
    </row>
    <row r="5537" s="3" customFormat="1" ht="18.75" spans="1:5">
      <c r="A5537" s="8" t="str">
        <f t="shared" si="97"/>
        <v>250025</v>
      </c>
      <c r="B5537" s="8" t="str">
        <f>"2561406013603"</f>
        <v>2561406013603</v>
      </c>
      <c r="C5537" s="8" t="s">
        <v>12</v>
      </c>
      <c r="D5537" s="9">
        <v>0</v>
      </c>
      <c r="E5537" s="8">
        <v>229</v>
      </c>
    </row>
    <row r="5538" s="3" customFormat="1" ht="18.75" spans="1:5">
      <c r="A5538" s="8" t="str">
        <f t="shared" si="97"/>
        <v>250025</v>
      </c>
      <c r="B5538" s="8" t="str">
        <f>"2561406013604"</f>
        <v>2561406013604</v>
      </c>
      <c r="C5538" s="8" t="s">
        <v>12</v>
      </c>
      <c r="D5538" s="9">
        <v>0</v>
      </c>
      <c r="E5538" s="8">
        <v>229</v>
      </c>
    </row>
    <row r="5539" s="3" customFormat="1" ht="18.75" spans="1:5">
      <c r="A5539" s="8" t="str">
        <f t="shared" si="97"/>
        <v>250025</v>
      </c>
      <c r="B5539" s="8" t="str">
        <f>"2561406013608"</f>
        <v>2561406013608</v>
      </c>
      <c r="C5539" s="8" t="s">
        <v>12</v>
      </c>
      <c r="D5539" s="9">
        <v>0</v>
      </c>
      <c r="E5539" s="8">
        <v>229</v>
      </c>
    </row>
    <row r="5540" s="3" customFormat="1" ht="18.75" spans="1:5">
      <c r="A5540" s="8" t="str">
        <f t="shared" si="97"/>
        <v>250025</v>
      </c>
      <c r="B5540" s="8" t="str">
        <f>"2561406013612"</f>
        <v>2561406013612</v>
      </c>
      <c r="C5540" s="8" t="s">
        <v>12</v>
      </c>
      <c r="D5540" s="9">
        <v>0</v>
      </c>
      <c r="E5540" s="8">
        <v>229</v>
      </c>
    </row>
    <row r="5541" s="3" customFormat="1" ht="18.75" spans="1:5">
      <c r="A5541" s="8" t="str">
        <f t="shared" si="97"/>
        <v>250025</v>
      </c>
      <c r="B5541" s="8" t="str">
        <f>"2561406013613"</f>
        <v>2561406013613</v>
      </c>
      <c r="C5541" s="8" t="s">
        <v>12</v>
      </c>
      <c r="D5541" s="9">
        <v>0</v>
      </c>
      <c r="E5541" s="8">
        <v>229</v>
      </c>
    </row>
    <row r="5542" s="3" customFormat="1" ht="18.75" spans="1:5">
      <c r="A5542" s="8" t="str">
        <f t="shared" si="97"/>
        <v>250025</v>
      </c>
      <c r="B5542" s="8" t="str">
        <f>"2561406013616"</f>
        <v>2561406013616</v>
      </c>
      <c r="C5542" s="8" t="s">
        <v>12</v>
      </c>
      <c r="D5542" s="9">
        <v>0</v>
      </c>
      <c r="E5542" s="8">
        <v>229</v>
      </c>
    </row>
    <row r="5543" s="3" customFormat="1" ht="18.75" spans="1:5">
      <c r="A5543" s="8" t="str">
        <f t="shared" si="97"/>
        <v>250025</v>
      </c>
      <c r="B5543" s="8" t="str">
        <f>"2561406013626"</f>
        <v>2561406013626</v>
      </c>
      <c r="C5543" s="8" t="s">
        <v>12</v>
      </c>
      <c r="D5543" s="9">
        <v>0</v>
      </c>
      <c r="E5543" s="8">
        <v>229</v>
      </c>
    </row>
    <row r="5544" s="3" customFormat="1" ht="18.75" spans="1:5">
      <c r="A5544" s="8" t="str">
        <f t="shared" si="97"/>
        <v>250025</v>
      </c>
      <c r="B5544" s="8" t="str">
        <f>"2561406013627"</f>
        <v>2561406013627</v>
      </c>
      <c r="C5544" s="8" t="s">
        <v>12</v>
      </c>
      <c r="D5544" s="9">
        <v>0</v>
      </c>
      <c r="E5544" s="8">
        <v>229</v>
      </c>
    </row>
    <row r="5545" s="3" customFormat="1" ht="18.75" spans="1:5">
      <c r="A5545" s="8" t="str">
        <f t="shared" si="97"/>
        <v>250025</v>
      </c>
      <c r="B5545" s="8" t="str">
        <f>"2561406013628"</f>
        <v>2561406013628</v>
      </c>
      <c r="C5545" s="8" t="s">
        <v>12</v>
      </c>
      <c r="D5545" s="9">
        <v>0</v>
      </c>
      <c r="E5545" s="8">
        <v>229</v>
      </c>
    </row>
    <row r="5546" s="3" customFormat="1" ht="18.75" spans="1:5">
      <c r="A5546" s="8" t="str">
        <f t="shared" si="97"/>
        <v>250025</v>
      </c>
      <c r="B5546" s="8" t="str">
        <f>"2561406013703"</f>
        <v>2561406013703</v>
      </c>
      <c r="C5546" s="8" t="s">
        <v>12</v>
      </c>
      <c r="D5546" s="9">
        <v>0</v>
      </c>
      <c r="E5546" s="8">
        <v>229</v>
      </c>
    </row>
    <row r="5547" s="3" customFormat="1" ht="18.75" spans="1:5">
      <c r="A5547" s="8" t="str">
        <f t="shared" si="97"/>
        <v>250025</v>
      </c>
      <c r="B5547" s="8" t="str">
        <f>"2561406013712"</f>
        <v>2561406013712</v>
      </c>
      <c r="C5547" s="8" t="s">
        <v>12</v>
      </c>
      <c r="D5547" s="9">
        <v>0</v>
      </c>
      <c r="E5547" s="8">
        <v>229</v>
      </c>
    </row>
    <row r="5548" s="3" customFormat="1" ht="18.75" spans="1:5">
      <c r="A5548" s="8" t="str">
        <f t="shared" si="97"/>
        <v>250025</v>
      </c>
      <c r="B5548" s="8" t="str">
        <f>"2561406013715"</f>
        <v>2561406013715</v>
      </c>
      <c r="C5548" s="8" t="s">
        <v>12</v>
      </c>
      <c r="D5548" s="9">
        <v>0</v>
      </c>
      <c r="E5548" s="8">
        <v>229</v>
      </c>
    </row>
    <row r="5549" s="3" customFormat="1" ht="18.75" spans="1:5">
      <c r="A5549" s="8" t="str">
        <f t="shared" si="97"/>
        <v>250025</v>
      </c>
      <c r="B5549" s="8" t="str">
        <f>"2561406013716"</f>
        <v>2561406013716</v>
      </c>
      <c r="C5549" s="8" t="s">
        <v>12</v>
      </c>
      <c r="D5549" s="9">
        <v>0</v>
      </c>
      <c r="E5549" s="8">
        <v>229</v>
      </c>
    </row>
    <row r="5550" s="3" customFormat="1" ht="18.75" spans="1:5">
      <c r="A5550" s="8" t="str">
        <f t="shared" si="97"/>
        <v>250025</v>
      </c>
      <c r="B5550" s="8" t="str">
        <f>"2561406013717"</f>
        <v>2561406013717</v>
      </c>
      <c r="C5550" s="8" t="s">
        <v>12</v>
      </c>
      <c r="D5550" s="9">
        <v>0</v>
      </c>
      <c r="E5550" s="8">
        <v>229</v>
      </c>
    </row>
    <row r="5551" s="3" customFormat="1" ht="18.75" spans="1:5">
      <c r="A5551" s="8" t="str">
        <f t="shared" si="97"/>
        <v>250025</v>
      </c>
      <c r="B5551" s="8" t="str">
        <f>"2561406013719"</f>
        <v>2561406013719</v>
      </c>
      <c r="C5551" s="8" t="s">
        <v>12</v>
      </c>
      <c r="D5551" s="9">
        <v>0</v>
      </c>
      <c r="E5551" s="8">
        <v>229</v>
      </c>
    </row>
    <row r="5552" s="3" customFormat="1" ht="18.75" spans="1:5">
      <c r="A5552" s="8" t="str">
        <f t="shared" si="97"/>
        <v>250025</v>
      </c>
      <c r="B5552" s="8" t="str">
        <f>"2561406013721"</f>
        <v>2561406013721</v>
      </c>
      <c r="C5552" s="8" t="s">
        <v>12</v>
      </c>
      <c r="D5552" s="9">
        <v>0</v>
      </c>
      <c r="E5552" s="8">
        <v>229</v>
      </c>
    </row>
    <row r="5553" s="3" customFormat="1" ht="18.75" spans="1:5">
      <c r="A5553" s="8" t="str">
        <f t="shared" si="97"/>
        <v>250025</v>
      </c>
      <c r="B5553" s="8" t="str">
        <f>"2561406013722"</f>
        <v>2561406013722</v>
      </c>
      <c r="C5553" s="8" t="s">
        <v>12</v>
      </c>
      <c r="D5553" s="9">
        <v>0</v>
      </c>
      <c r="E5553" s="8">
        <v>229</v>
      </c>
    </row>
    <row r="5554" s="3" customFormat="1" ht="18.75" spans="1:5">
      <c r="A5554" s="8" t="str">
        <f t="shared" si="97"/>
        <v>250025</v>
      </c>
      <c r="B5554" s="8" t="str">
        <f>"2561406013724"</f>
        <v>2561406013724</v>
      </c>
      <c r="C5554" s="8" t="s">
        <v>12</v>
      </c>
      <c r="D5554" s="9">
        <v>0</v>
      </c>
      <c r="E5554" s="8">
        <v>229</v>
      </c>
    </row>
    <row r="5555" s="3" customFormat="1" ht="18.75" spans="1:5">
      <c r="A5555" s="8" t="str">
        <f t="shared" si="97"/>
        <v>250025</v>
      </c>
      <c r="B5555" s="8" t="str">
        <f>"2561406013728"</f>
        <v>2561406013728</v>
      </c>
      <c r="C5555" s="8" t="s">
        <v>12</v>
      </c>
      <c r="D5555" s="9">
        <v>0</v>
      </c>
      <c r="E5555" s="8">
        <v>229</v>
      </c>
    </row>
    <row r="5556" s="3" customFormat="1" ht="18.75" spans="1:5">
      <c r="A5556" s="8" t="str">
        <f t="shared" si="97"/>
        <v>250025</v>
      </c>
      <c r="B5556" s="8" t="str">
        <f>"2561406013730"</f>
        <v>2561406013730</v>
      </c>
      <c r="C5556" s="8" t="s">
        <v>12</v>
      </c>
      <c r="D5556" s="9">
        <v>0</v>
      </c>
      <c r="E5556" s="8">
        <v>229</v>
      </c>
    </row>
    <row r="5557" s="3" customFormat="1" ht="18.75" spans="1:5">
      <c r="A5557" s="8" t="str">
        <f t="shared" si="97"/>
        <v>250025</v>
      </c>
      <c r="B5557" s="8" t="str">
        <f>"2561406013803"</f>
        <v>2561406013803</v>
      </c>
      <c r="C5557" s="8" t="s">
        <v>12</v>
      </c>
      <c r="D5557" s="9">
        <v>0</v>
      </c>
      <c r="E5557" s="8">
        <v>229</v>
      </c>
    </row>
    <row r="5558" s="3" customFormat="1" ht="18.75" spans="1:5">
      <c r="A5558" s="8" t="str">
        <f t="shared" si="97"/>
        <v>250025</v>
      </c>
      <c r="B5558" s="8" t="str">
        <f>"2561406013805"</f>
        <v>2561406013805</v>
      </c>
      <c r="C5558" s="8" t="s">
        <v>12</v>
      </c>
      <c r="D5558" s="9">
        <v>0</v>
      </c>
      <c r="E5558" s="8">
        <v>229</v>
      </c>
    </row>
    <row r="5559" s="3" customFormat="1" ht="18.75" spans="1:5">
      <c r="A5559" s="8" t="str">
        <f t="shared" si="97"/>
        <v>250025</v>
      </c>
      <c r="B5559" s="8" t="str">
        <f>"2561406013806"</f>
        <v>2561406013806</v>
      </c>
      <c r="C5559" s="8" t="s">
        <v>12</v>
      </c>
      <c r="D5559" s="9">
        <v>0</v>
      </c>
      <c r="E5559" s="8">
        <v>229</v>
      </c>
    </row>
    <row r="5560" s="3" customFormat="1" ht="18.75" spans="1:5">
      <c r="A5560" s="8" t="str">
        <f t="shared" si="97"/>
        <v>250025</v>
      </c>
      <c r="B5560" s="8" t="str">
        <f>"2561406013807"</f>
        <v>2561406013807</v>
      </c>
      <c r="C5560" s="8" t="s">
        <v>12</v>
      </c>
      <c r="D5560" s="9">
        <v>0</v>
      </c>
      <c r="E5560" s="8">
        <v>229</v>
      </c>
    </row>
    <row r="5561" s="3" customFormat="1" ht="18.75" spans="1:5">
      <c r="A5561" s="8" t="str">
        <f t="shared" si="97"/>
        <v>250025</v>
      </c>
      <c r="B5561" s="8" t="str">
        <f>"2561406013811"</f>
        <v>2561406013811</v>
      </c>
      <c r="C5561" s="8" t="s">
        <v>12</v>
      </c>
      <c r="D5561" s="9">
        <v>0</v>
      </c>
      <c r="E5561" s="8">
        <v>229</v>
      </c>
    </row>
    <row r="5562" s="3" customFormat="1" ht="18.75" spans="1:5">
      <c r="A5562" s="8" t="str">
        <f t="shared" ref="A5562:A5625" si="98">"250026"</f>
        <v>250026</v>
      </c>
      <c r="B5562" s="8" t="str">
        <f>"2561406013902"</f>
        <v>2561406013902</v>
      </c>
      <c r="C5562" s="8" t="s">
        <v>12</v>
      </c>
      <c r="D5562" s="9">
        <v>69.78</v>
      </c>
      <c r="E5562" s="8">
        <v>1</v>
      </c>
    </row>
    <row r="5563" s="3" customFormat="1" ht="18.75" spans="1:5">
      <c r="A5563" s="8" t="str">
        <f t="shared" si="98"/>
        <v>250026</v>
      </c>
      <c r="B5563" s="8" t="str">
        <f>"2561406014129"</f>
        <v>2561406014129</v>
      </c>
      <c r="C5563" s="8" t="s">
        <v>12</v>
      </c>
      <c r="D5563" s="9">
        <v>69.28</v>
      </c>
      <c r="E5563" s="8">
        <v>2</v>
      </c>
    </row>
    <row r="5564" s="3" customFormat="1" ht="18.75" spans="1:5">
      <c r="A5564" s="8" t="str">
        <f t="shared" si="98"/>
        <v>250026</v>
      </c>
      <c r="B5564" s="8" t="str">
        <f>"2561406014317"</f>
        <v>2561406014317</v>
      </c>
      <c r="C5564" s="8" t="s">
        <v>12</v>
      </c>
      <c r="D5564" s="9">
        <v>69.2</v>
      </c>
      <c r="E5564" s="8">
        <v>3</v>
      </c>
    </row>
    <row r="5565" s="3" customFormat="1" ht="18.75" spans="1:5">
      <c r="A5565" s="8" t="str">
        <f t="shared" si="98"/>
        <v>250026</v>
      </c>
      <c r="B5565" s="8" t="str">
        <f>"2561406013906"</f>
        <v>2561406013906</v>
      </c>
      <c r="C5565" s="8" t="s">
        <v>12</v>
      </c>
      <c r="D5565" s="9">
        <v>66.95</v>
      </c>
      <c r="E5565" s="8">
        <v>4</v>
      </c>
    </row>
    <row r="5566" s="3" customFormat="1" ht="18.75" spans="1:5">
      <c r="A5566" s="8" t="str">
        <f t="shared" si="98"/>
        <v>250026</v>
      </c>
      <c r="B5566" s="8" t="str">
        <f>"2561406014318"</f>
        <v>2561406014318</v>
      </c>
      <c r="C5566" s="8" t="s">
        <v>12</v>
      </c>
      <c r="D5566" s="9">
        <v>66.51</v>
      </c>
      <c r="E5566" s="8">
        <v>5</v>
      </c>
    </row>
    <row r="5567" s="3" customFormat="1" ht="18.75" spans="1:5">
      <c r="A5567" s="8" t="str">
        <f t="shared" si="98"/>
        <v>250026</v>
      </c>
      <c r="B5567" s="8" t="str">
        <f>"2561406014101"</f>
        <v>2561406014101</v>
      </c>
      <c r="C5567" s="8" t="s">
        <v>12</v>
      </c>
      <c r="D5567" s="9">
        <v>66.49</v>
      </c>
      <c r="E5567" s="8">
        <v>6</v>
      </c>
    </row>
    <row r="5568" s="3" customFormat="1" ht="18.75" spans="1:5">
      <c r="A5568" s="8" t="str">
        <f t="shared" si="98"/>
        <v>250026</v>
      </c>
      <c r="B5568" s="8" t="str">
        <f>"2561406014313"</f>
        <v>2561406014313</v>
      </c>
      <c r="C5568" s="8" t="s">
        <v>12</v>
      </c>
      <c r="D5568" s="9">
        <v>66.47</v>
      </c>
      <c r="E5568" s="8">
        <v>7</v>
      </c>
    </row>
    <row r="5569" s="3" customFormat="1" ht="18.75" spans="1:5">
      <c r="A5569" s="8" t="str">
        <f t="shared" si="98"/>
        <v>250026</v>
      </c>
      <c r="B5569" s="8" t="str">
        <f>"2561406013928"</f>
        <v>2561406013928</v>
      </c>
      <c r="C5569" s="8" t="s">
        <v>12</v>
      </c>
      <c r="D5569" s="9">
        <v>65.3</v>
      </c>
      <c r="E5569" s="8">
        <v>8</v>
      </c>
    </row>
    <row r="5570" s="3" customFormat="1" ht="18.75" spans="1:5">
      <c r="A5570" s="8" t="str">
        <f t="shared" si="98"/>
        <v>250026</v>
      </c>
      <c r="B5570" s="8" t="str">
        <f>"2561406014028"</f>
        <v>2561406014028</v>
      </c>
      <c r="C5570" s="8" t="s">
        <v>12</v>
      </c>
      <c r="D5570" s="9">
        <v>64.79</v>
      </c>
      <c r="E5570" s="8">
        <v>9</v>
      </c>
    </row>
    <row r="5571" s="3" customFormat="1" ht="18.75" spans="1:5">
      <c r="A5571" s="8" t="str">
        <f t="shared" si="98"/>
        <v>250026</v>
      </c>
      <c r="B5571" s="8" t="str">
        <f>"2561406014015"</f>
        <v>2561406014015</v>
      </c>
      <c r="C5571" s="8" t="s">
        <v>12</v>
      </c>
      <c r="D5571" s="9">
        <v>64.73</v>
      </c>
      <c r="E5571" s="8">
        <v>10</v>
      </c>
    </row>
    <row r="5572" s="3" customFormat="1" ht="18.75" spans="1:5">
      <c r="A5572" s="8" t="str">
        <f t="shared" si="98"/>
        <v>250026</v>
      </c>
      <c r="B5572" s="8" t="str">
        <f>"2561406014112"</f>
        <v>2561406014112</v>
      </c>
      <c r="C5572" s="8" t="s">
        <v>12</v>
      </c>
      <c r="D5572" s="9">
        <v>64.59</v>
      </c>
      <c r="E5572" s="8">
        <v>11</v>
      </c>
    </row>
    <row r="5573" s="3" customFormat="1" ht="18.75" spans="1:5">
      <c r="A5573" s="8" t="str">
        <f t="shared" si="98"/>
        <v>250026</v>
      </c>
      <c r="B5573" s="8" t="str">
        <f>"2561406014607"</f>
        <v>2561406014607</v>
      </c>
      <c r="C5573" s="8" t="s">
        <v>12</v>
      </c>
      <c r="D5573" s="9">
        <v>63.53</v>
      </c>
      <c r="E5573" s="8">
        <v>12</v>
      </c>
    </row>
    <row r="5574" s="3" customFormat="1" ht="18.75" spans="1:5">
      <c r="A5574" s="8" t="str">
        <f t="shared" si="98"/>
        <v>250026</v>
      </c>
      <c r="B5574" s="8" t="str">
        <f>"2561406014305"</f>
        <v>2561406014305</v>
      </c>
      <c r="C5574" s="8" t="s">
        <v>12</v>
      </c>
      <c r="D5574" s="9">
        <v>63.35</v>
      </c>
      <c r="E5574" s="8">
        <v>13</v>
      </c>
    </row>
    <row r="5575" s="3" customFormat="1" ht="18.75" spans="1:5">
      <c r="A5575" s="8" t="str">
        <f t="shared" si="98"/>
        <v>250026</v>
      </c>
      <c r="B5575" s="8" t="str">
        <f>"2561406014426"</f>
        <v>2561406014426</v>
      </c>
      <c r="C5575" s="8" t="s">
        <v>12</v>
      </c>
      <c r="D5575" s="9">
        <v>63.27</v>
      </c>
      <c r="E5575" s="8">
        <v>14</v>
      </c>
    </row>
    <row r="5576" s="3" customFormat="1" ht="18.75" spans="1:5">
      <c r="A5576" s="8" t="str">
        <f t="shared" si="98"/>
        <v>250026</v>
      </c>
      <c r="B5576" s="8" t="str">
        <f>"2561406014323"</f>
        <v>2561406014323</v>
      </c>
      <c r="C5576" s="8" t="s">
        <v>12</v>
      </c>
      <c r="D5576" s="9">
        <v>63.21</v>
      </c>
      <c r="E5576" s="8">
        <v>15</v>
      </c>
    </row>
    <row r="5577" s="3" customFormat="1" ht="18.75" spans="1:5">
      <c r="A5577" s="8" t="str">
        <f t="shared" si="98"/>
        <v>250026</v>
      </c>
      <c r="B5577" s="8" t="str">
        <f>"2561406014303"</f>
        <v>2561406014303</v>
      </c>
      <c r="C5577" s="8" t="s">
        <v>12</v>
      </c>
      <c r="D5577" s="9">
        <v>63.02</v>
      </c>
      <c r="E5577" s="8">
        <v>16</v>
      </c>
    </row>
    <row r="5578" s="3" customFormat="1" ht="18.75" spans="1:5">
      <c r="A5578" s="8" t="str">
        <f t="shared" si="98"/>
        <v>250026</v>
      </c>
      <c r="B5578" s="8" t="str">
        <f>"2561406014616"</f>
        <v>2561406014616</v>
      </c>
      <c r="C5578" s="8" t="s">
        <v>12</v>
      </c>
      <c r="D5578" s="9">
        <v>62.38</v>
      </c>
      <c r="E5578" s="8">
        <v>17</v>
      </c>
    </row>
    <row r="5579" s="3" customFormat="1" ht="18.75" spans="1:5">
      <c r="A5579" s="8" t="str">
        <f t="shared" si="98"/>
        <v>250026</v>
      </c>
      <c r="B5579" s="8" t="str">
        <f>"2561406014524"</f>
        <v>2561406014524</v>
      </c>
      <c r="C5579" s="8" t="s">
        <v>12</v>
      </c>
      <c r="D5579" s="9">
        <v>62.13</v>
      </c>
      <c r="E5579" s="8">
        <v>18</v>
      </c>
    </row>
    <row r="5580" s="3" customFormat="1" ht="18.75" spans="1:5">
      <c r="A5580" s="8" t="str">
        <f t="shared" si="98"/>
        <v>250026</v>
      </c>
      <c r="B5580" s="8" t="str">
        <f>"2561406014001"</f>
        <v>2561406014001</v>
      </c>
      <c r="C5580" s="8" t="s">
        <v>12</v>
      </c>
      <c r="D5580" s="9">
        <v>62.08</v>
      </c>
      <c r="E5580" s="8">
        <v>19</v>
      </c>
    </row>
    <row r="5581" s="3" customFormat="1" ht="18.75" spans="1:5">
      <c r="A5581" s="8" t="str">
        <f t="shared" si="98"/>
        <v>250026</v>
      </c>
      <c r="B5581" s="8" t="str">
        <f>"2561406014427"</f>
        <v>2561406014427</v>
      </c>
      <c r="C5581" s="8" t="s">
        <v>12</v>
      </c>
      <c r="D5581" s="9">
        <v>62.08</v>
      </c>
      <c r="E5581" s="8">
        <v>19</v>
      </c>
    </row>
    <row r="5582" s="3" customFormat="1" ht="18.75" spans="1:5">
      <c r="A5582" s="8" t="str">
        <f t="shared" si="98"/>
        <v>250026</v>
      </c>
      <c r="B5582" s="8" t="str">
        <f>"2561406014216"</f>
        <v>2561406014216</v>
      </c>
      <c r="C5582" s="8" t="s">
        <v>12</v>
      </c>
      <c r="D5582" s="9">
        <v>62.06</v>
      </c>
      <c r="E5582" s="8">
        <v>21</v>
      </c>
    </row>
    <row r="5583" s="3" customFormat="1" ht="18.75" spans="1:5">
      <c r="A5583" s="8" t="str">
        <f t="shared" si="98"/>
        <v>250026</v>
      </c>
      <c r="B5583" s="8" t="str">
        <f>"2561406014026"</f>
        <v>2561406014026</v>
      </c>
      <c r="C5583" s="8" t="s">
        <v>12</v>
      </c>
      <c r="D5583" s="9">
        <v>62.01</v>
      </c>
      <c r="E5583" s="8">
        <v>22</v>
      </c>
    </row>
    <row r="5584" s="3" customFormat="1" ht="18.75" spans="1:5">
      <c r="A5584" s="8" t="str">
        <f t="shared" si="98"/>
        <v>250026</v>
      </c>
      <c r="B5584" s="8" t="str">
        <f>"2561406014022"</f>
        <v>2561406014022</v>
      </c>
      <c r="C5584" s="8" t="s">
        <v>12</v>
      </c>
      <c r="D5584" s="9">
        <v>61.6</v>
      </c>
      <c r="E5584" s="8">
        <v>23</v>
      </c>
    </row>
    <row r="5585" s="3" customFormat="1" ht="18.75" spans="1:5">
      <c r="A5585" s="8" t="str">
        <f t="shared" si="98"/>
        <v>250026</v>
      </c>
      <c r="B5585" s="8" t="str">
        <f>"2561406014115"</f>
        <v>2561406014115</v>
      </c>
      <c r="C5585" s="8" t="s">
        <v>12</v>
      </c>
      <c r="D5585" s="9">
        <v>61.59</v>
      </c>
      <c r="E5585" s="8">
        <v>24</v>
      </c>
    </row>
    <row r="5586" s="3" customFormat="1" ht="18.75" spans="1:5">
      <c r="A5586" s="8" t="str">
        <f t="shared" si="98"/>
        <v>250026</v>
      </c>
      <c r="B5586" s="8" t="str">
        <f>"2561406014109"</f>
        <v>2561406014109</v>
      </c>
      <c r="C5586" s="8" t="s">
        <v>12</v>
      </c>
      <c r="D5586" s="9">
        <v>61.45</v>
      </c>
      <c r="E5586" s="8">
        <v>25</v>
      </c>
    </row>
    <row r="5587" s="3" customFormat="1" ht="18.75" spans="1:5">
      <c r="A5587" s="8" t="str">
        <f t="shared" si="98"/>
        <v>250026</v>
      </c>
      <c r="B5587" s="8" t="str">
        <f>"2561406014424"</f>
        <v>2561406014424</v>
      </c>
      <c r="C5587" s="8" t="s">
        <v>12</v>
      </c>
      <c r="D5587" s="9">
        <v>61.21</v>
      </c>
      <c r="E5587" s="8">
        <v>26</v>
      </c>
    </row>
    <row r="5588" s="3" customFormat="1" ht="18.75" spans="1:5">
      <c r="A5588" s="8" t="str">
        <f t="shared" si="98"/>
        <v>250026</v>
      </c>
      <c r="B5588" s="8" t="str">
        <f>"2561406013924"</f>
        <v>2561406013924</v>
      </c>
      <c r="C5588" s="8" t="s">
        <v>12</v>
      </c>
      <c r="D5588" s="9">
        <v>60.91</v>
      </c>
      <c r="E5588" s="8">
        <v>27</v>
      </c>
    </row>
    <row r="5589" s="3" customFormat="1" ht="18.75" spans="1:5">
      <c r="A5589" s="8" t="str">
        <f t="shared" si="98"/>
        <v>250026</v>
      </c>
      <c r="B5589" s="8" t="str">
        <f>"2561406014605"</f>
        <v>2561406014605</v>
      </c>
      <c r="C5589" s="8" t="s">
        <v>12</v>
      </c>
      <c r="D5589" s="9">
        <v>60.89</v>
      </c>
      <c r="E5589" s="8">
        <v>28</v>
      </c>
    </row>
    <row r="5590" s="3" customFormat="1" ht="18.75" spans="1:5">
      <c r="A5590" s="8" t="str">
        <f t="shared" si="98"/>
        <v>250026</v>
      </c>
      <c r="B5590" s="8" t="str">
        <f>"2561406014120"</f>
        <v>2561406014120</v>
      </c>
      <c r="C5590" s="8" t="s">
        <v>12</v>
      </c>
      <c r="D5590" s="9">
        <v>60.27</v>
      </c>
      <c r="E5590" s="8">
        <v>29</v>
      </c>
    </row>
    <row r="5591" s="3" customFormat="1" ht="18.75" spans="1:5">
      <c r="A5591" s="8" t="str">
        <f t="shared" si="98"/>
        <v>250026</v>
      </c>
      <c r="B5591" s="8" t="str">
        <f>"2561406013820"</f>
        <v>2561406013820</v>
      </c>
      <c r="C5591" s="8" t="s">
        <v>12</v>
      </c>
      <c r="D5591" s="9">
        <v>60.16</v>
      </c>
      <c r="E5591" s="8">
        <v>30</v>
      </c>
    </row>
    <row r="5592" s="3" customFormat="1" ht="18.75" spans="1:5">
      <c r="A5592" s="8" t="str">
        <f t="shared" si="98"/>
        <v>250026</v>
      </c>
      <c r="B5592" s="8" t="str">
        <f>"2561406014328"</f>
        <v>2561406014328</v>
      </c>
      <c r="C5592" s="8" t="s">
        <v>12</v>
      </c>
      <c r="D5592" s="9">
        <v>60.14</v>
      </c>
      <c r="E5592" s="8">
        <v>31</v>
      </c>
    </row>
    <row r="5593" s="3" customFormat="1" ht="18.75" spans="1:5">
      <c r="A5593" s="8" t="str">
        <f t="shared" si="98"/>
        <v>250026</v>
      </c>
      <c r="B5593" s="8" t="str">
        <f>"2561406014225"</f>
        <v>2561406014225</v>
      </c>
      <c r="C5593" s="8" t="s">
        <v>12</v>
      </c>
      <c r="D5593" s="9">
        <v>60.07</v>
      </c>
      <c r="E5593" s="8">
        <v>32</v>
      </c>
    </row>
    <row r="5594" s="3" customFormat="1" ht="18.75" spans="1:5">
      <c r="A5594" s="8" t="str">
        <f t="shared" si="98"/>
        <v>250026</v>
      </c>
      <c r="B5594" s="8" t="str">
        <f>"2561406013822"</f>
        <v>2561406013822</v>
      </c>
      <c r="C5594" s="8" t="s">
        <v>12</v>
      </c>
      <c r="D5594" s="9">
        <v>60.06</v>
      </c>
      <c r="E5594" s="8">
        <v>33</v>
      </c>
    </row>
    <row r="5595" s="3" customFormat="1" ht="18.75" spans="1:5">
      <c r="A5595" s="8" t="str">
        <f t="shared" si="98"/>
        <v>250026</v>
      </c>
      <c r="B5595" s="8" t="str">
        <f>"2561406014114"</f>
        <v>2561406014114</v>
      </c>
      <c r="C5595" s="8" t="s">
        <v>12</v>
      </c>
      <c r="D5595" s="9">
        <v>59.76</v>
      </c>
      <c r="E5595" s="8">
        <v>34</v>
      </c>
    </row>
    <row r="5596" s="3" customFormat="1" ht="18.75" spans="1:5">
      <c r="A5596" s="8" t="str">
        <f t="shared" si="98"/>
        <v>250026</v>
      </c>
      <c r="B5596" s="8" t="str">
        <f>"2561406014325"</f>
        <v>2561406014325</v>
      </c>
      <c r="C5596" s="8" t="s">
        <v>12</v>
      </c>
      <c r="D5596" s="9">
        <v>59.69</v>
      </c>
      <c r="E5596" s="8">
        <v>35</v>
      </c>
    </row>
    <row r="5597" s="3" customFormat="1" ht="18.75" spans="1:5">
      <c r="A5597" s="8" t="str">
        <f t="shared" si="98"/>
        <v>250026</v>
      </c>
      <c r="B5597" s="8" t="str">
        <f>"2561406013916"</f>
        <v>2561406013916</v>
      </c>
      <c r="C5597" s="8" t="s">
        <v>12</v>
      </c>
      <c r="D5597" s="9">
        <v>59.5</v>
      </c>
      <c r="E5597" s="8">
        <v>36</v>
      </c>
    </row>
    <row r="5598" s="3" customFormat="1" ht="18.75" spans="1:5">
      <c r="A5598" s="8" t="str">
        <f t="shared" si="98"/>
        <v>250026</v>
      </c>
      <c r="B5598" s="8" t="str">
        <f>"2561406014425"</f>
        <v>2561406014425</v>
      </c>
      <c r="C5598" s="8" t="s">
        <v>12</v>
      </c>
      <c r="D5598" s="9">
        <v>59.46</v>
      </c>
      <c r="E5598" s="8">
        <v>37</v>
      </c>
    </row>
    <row r="5599" s="3" customFormat="1" ht="18.75" spans="1:5">
      <c r="A5599" s="8" t="str">
        <f t="shared" si="98"/>
        <v>250026</v>
      </c>
      <c r="B5599" s="8" t="str">
        <f>"2561406014204"</f>
        <v>2561406014204</v>
      </c>
      <c r="C5599" s="8" t="s">
        <v>12</v>
      </c>
      <c r="D5599" s="9">
        <v>59.12</v>
      </c>
      <c r="E5599" s="8">
        <v>38</v>
      </c>
    </row>
    <row r="5600" s="3" customFormat="1" ht="18.75" spans="1:5">
      <c r="A5600" s="8" t="str">
        <f t="shared" si="98"/>
        <v>250026</v>
      </c>
      <c r="B5600" s="8" t="str">
        <f>"2561406013912"</f>
        <v>2561406013912</v>
      </c>
      <c r="C5600" s="8" t="s">
        <v>12</v>
      </c>
      <c r="D5600" s="9">
        <v>59.08</v>
      </c>
      <c r="E5600" s="8">
        <v>39</v>
      </c>
    </row>
    <row r="5601" s="3" customFormat="1" ht="18.75" spans="1:5">
      <c r="A5601" s="8" t="str">
        <f t="shared" si="98"/>
        <v>250026</v>
      </c>
      <c r="B5601" s="8" t="str">
        <f>"2561406014007"</f>
        <v>2561406014007</v>
      </c>
      <c r="C5601" s="8" t="s">
        <v>12</v>
      </c>
      <c r="D5601" s="9">
        <v>58.84</v>
      </c>
      <c r="E5601" s="8">
        <v>40</v>
      </c>
    </row>
    <row r="5602" s="3" customFormat="1" ht="18.75" spans="1:5">
      <c r="A5602" s="8" t="str">
        <f t="shared" si="98"/>
        <v>250026</v>
      </c>
      <c r="B5602" s="8" t="str">
        <f>"2561406014128"</f>
        <v>2561406014128</v>
      </c>
      <c r="C5602" s="8" t="s">
        <v>12</v>
      </c>
      <c r="D5602" s="9">
        <v>58.58</v>
      </c>
      <c r="E5602" s="8">
        <v>41</v>
      </c>
    </row>
    <row r="5603" s="3" customFormat="1" ht="18.75" spans="1:5">
      <c r="A5603" s="8" t="str">
        <f t="shared" si="98"/>
        <v>250026</v>
      </c>
      <c r="B5603" s="8" t="str">
        <f>"2561406014025"</f>
        <v>2561406014025</v>
      </c>
      <c r="C5603" s="8" t="s">
        <v>12</v>
      </c>
      <c r="D5603" s="9">
        <v>58.56</v>
      </c>
      <c r="E5603" s="8">
        <v>42</v>
      </c>
    </row>
    <row r="5604" s="3" customFormat="1" ht="18.75" spans="1:5">
      <c r="A5604" s="8" t="str">
        <f t="shared" si="98"/>
        <v>250026</v>
      </c>
      <c r="B5604" s="8" t="str">
        <f>"2561406014214"</f>
        <v>2561406014214</v>
      </c>
      <c r="C5604" s="8" t="s">
        <v>12</v>
      </c>
      <c r="D5604" s="9">
        <v>58.52</v>
      </c>
      <c r="E5604" s="8">
        <v>43</v>
      </c>
    </row>
    <row r="5605" s="3" customFormat="1" ht="18.75" spans="1:5">
      <c r="A5605" s="8" t="str">
        <f t="shared" si="98"/>
        <v>250026</v>
      </c>
      <c r="B5605" s="8" t="str">
        <f>"2561406014302"</f>
        <v>2561406014302</v>
      </c>
      <c r="C5605" s="8" t="s">
        <v>12</v>
      </c>
      <c r="D5605" s="9">
        <v>58.26</v>
      </c>
      <c r="E5605" s="8">
        <v>44</v>
      </c>
    </row>
    <row r="5606" s="3" customFormat="1" ht="18.75" spans="1:5">
      <c r="A5606" s="8" t="str">
        <f t="shared" si="98"/>
        <v>250026</v>
      </c>
      <c r="B5606" s="8" t="str">
        <f>"2561406014604"</f>
        <v>2561406014604</v>
      </c>
      <c r="C5606" s="8" t="s">
        <v>12</v>
      </c>
      <c r="D5606" s="9">
        <v>58.21</v>
      </c>
      <c r="E5606" s="8">
        <v>45</v>
      </c>
    </row>
    <row r="5607" s="3" customFormat="1" ht="18.75" spans="1:5">
      <c r="A5607" s="8" t="str">
        <f t="shared" si="98"/>
        <v>250026</v>
      </c>
      <c r="B5607" s="8" t="str">
        <f>"2561406013922"</f>
        <v>2561406013922</v>
      </c>
      <c r="C5607" s="8" t="s">
        <v>12</v>
      </c>
      <c r="D5607" s="9">
        <v>58.01</v>
      </c>
      <c r="E5607" s="8">
        <v>46</v>
      </c>
    </row>
    <row r="5608" s="3" customFormat="1" ht="18.75" spans="1:5">
      <c r="A5608" s="8" t="str">
        <f t="shared" si="98"/>
        <v>250026</v>
      </c>
      <c r="B5608" s="8" t="str">
        <f>"2561406014403"</f>
        <v>2561406014403</v>
      </c>
      <c r="C5608" s="8" t="s">
        <v>12</v>
      </c>
      <c r="D5608" s="9">
        <v>58</v>
      </c>
      <c r="E5608" s="8">
        <v>47</v>
      </c>
    </row>
    <row r="5609" s="3" customFormat="1" ht="18.75" spans="1:5">
      <c r="A5609" s="8" t="str">
        <f t="shared" si="98"/>
        <v>250026</v>
      </c>
      <c r="B5609" s="8" t="str">
        <f>"2561406014008"</f>
        <v>2561406014008</v>
      </c>
      <c r="C5609" s="8" t="s">
        <v>12</v>
      </c>
      <c r="D5609" s="9">
        <v>57.63</v>
      </c>
      <c r="E5609" s="8">
        <v>48</v>
      </c>
    </row>
    <row r="5610" s="3" customFormat="1" ht="18.75" spans="1:5">
      <c r="A5610" s="8" t="str">
        <f t="shared" si="98"/>
        <v>250026</v>
      </c>
      <c r="B5610" s="8" t="str">
        <f>"2561406014502"</f>
        <v>2561406014502</v>
      </c>
      <c r="C5610" s="8" t="s">
        <v>12</v>
      </c>
      <c r="D5610" s="9">
        <v>57.24</v>
      </c>
      <c r="E5610" s="8">
        <v>49</v>
      </c>
    </row>
    <row r="5611" s="3" customFormat="1" ht="18.75" spans="1:5">
      <c r="A5611" s="8" t="str">
        <f t="shared" si="98"/>
        <v>250026</v>
      </c>
      <c r="B5611" s="8" t="str">
        <f>"2561406013826"</f>
        <v>2561406013826</v>
      </c>
      <c r="C5611" s="8" t="s">
        <v>12</v>
      </c>
      <c r="D5611" s="9">
        <v>56.58</v>
      </c>
      <c r="E5611" s="8">
        <v>50</v>
      </c>
    </row>
    <row r="5612" s="3" customFormat="1" ht="18.75" spans="1:5">
      <c r="A5612" s="8" t="str">
        <f t="shared" si="98"/>
        <v>250026</v>
      </c>
      <c r="B5612" s="8" t="str">
        <f>"2561406014218"</f>
        <v>2561406014218</v>
      </c>
      <c r="C5612" s="8" t="s">
        <v>12</v>
      </c>
      <c r="D5612" s="9">
        <v>56.21</v>
      </c>
      <c r="E5612" s="8">
        <v>51</v>
      </c>
    </row>
    <row r="5613" s="3" customFormat="1" ht="18.75" spans="1:5">
      <c r="A5613" s="8" t="str">
        <f t="shared" si="98"/>
        <v>250026</v>
      </c>
      <c r="B5613" s="8" t="str">
        <f>"2561406013911"</f>
        <v>2561406013911</v>
      </c>
      <c r="C5613" s="8" t="s">
        <v>12</v>
      </c>
      <c r="D5613" s="9">
        <v>56.19</v>
      </c>
      <c r="E5613" s="8">
        <v>52</v>
      </c>
    </row>
    <row r="5614" s="3" customFormat="1" ht="18.75" spans="1:5">
      <c r="A5614" s="8" t="str">
        <f t="shared" si="98"/>
        <v>250026</v>
      </c>
      <c r="B5614" s="8" t="str">
        <f>"2561406013829"</f>
        <v>2561406013829</v>
      </c>
      <c r="C5614" s="8" t="s">
        <v>12</v>
      </c>
      <c r="D5614" s="9">
        <v>56.06</v>
      </c>
      <c r="E5614" s="8">
        <v>53</v>
      </c>
    </row>
    <row r="5615" s="3" customFormat="1" ht="18.75" spans="1:5">
      <c r="A5615" s="8" t="str">
        <f t="shared" si="98"/>
        <v>250026</v>
      </c>
      <c r="B5615" s="8" t="str">
        <f>"2561406014309"</f>
        <v>2561406014309</v>
      </c>
      <c r="C5615" s="8" t="s">
        <v>12</v>
      </c>
      <c r="D5615" s="9">
        <v>55.93</v>
      </c>
      <c r="E5615" s="8">
        <v>54</v>
      </c>
    </row>
    <row r="5616" s="3" customFormat="1" ht="18.75" spans="1:5">
      <c r="A5616" s="8" t="str">
        <f t="shared" si="98"/>
        <v>250026</v>
      </c>
      <c r="B5616" s="8" t="str">
        <f>"2561406013813"</f>
        <v>2561406013813</v>
      </c>
      <c r="C5616" s="8" t="s">
        <v>12</v>
      </c>
      <c r="D5616" s="9">
        <v>55.88</v>
      </c>
      <c r="E5616" s="8">
        <v>55</v>
      </c>
    </row>
    <row r="5617" s="3" customFormat="1" ht="18.75" spans="1:5">
      <c r="A5617" s="8" t="str">
        <f t="shared" si="98"/>
        <v>250026</v>
      </c>
      <c r="B5617" s="8" t="str">
        <f>"2561406014020"</f>
        <v>2561406014020</v>
      </c>
      <c r="C5617" s="8" t="s">
        <v>12</v>
      </c>
      <c r="D5617" s="9">
        <v>55.29</v>
      </c>
      <c r="E5617" s="8">
        <v>56</v>
      </c>
    </row>
    <row r="5618" s="3" customFormat="1" ht="18.75" spans="1:5">
      <c r="A5618" s="8" t="str">
        <f t="shared" si="98"/>
        <v>250026</v>
      </c>
      <c r="B5618" s="8" t="str">
        <f>"2561406014402"</f>
        <v>2561406014402</v>
      </c>
      <c r="C5618" s="8" t="s">
        <v>12</v>
      </c>
      <c r="D5618" s="9">
        <v>55.05</v>
      </c>
      <c r="E5618" s="8">
        <v>57</v>
      </c>
    </row>
    <row r="5619" s="3" customFormat="1" ht="18.75" spans="1:5">
      <c r="A5619" s="8" t="str">
        <f t="shared" si="98"/>
        <v>250026</v>
      </c>
      <c r="B5619" s="8" t="str">
        <f>"2561406014104"</f>
        <v>2561406014104</v>
      </c>
      <c r="C5619" s="8" t="s">
        <v>12</v>
      </c>
      <c r="D5619" s="9">
        <v>54.99</v>
      </c>
      <c r="E5619" s="8">
        <v>58</v>
      </c>
    </row>
    <row r="5620" s="3" customFormat="1" ht="18.75" spans="1:5">
      <c r="A5620" s="8" t="str">
        <f t="shared" si="98"/>
        <v>250026</v>
      </c>
      <c r="B5620" s="8" t="str">
        <f>"2561406014122"</f>
        <v>2561406014122</v>
      </c>
      <c r="C5620" s="8" t="s">
        <v>12</v>
      </c>
      <c r="D5620" s="9">
        <v>54.94</v>
      </c>
      <c r="E5620" s="8">
        <v>59</v>
      </c>
    </row>
    <row r="5621" s="3" customFormat="1" ht="18.75" spans="1:5">
      <c r="A5621" s="8" t="str">
        <f t="shared" si="98"/>
        <v>250026</v>
      </c>
      <c r="B5621" s="8" t="str">
        <f>"2561406014516"</f>
        <v>2561406014516</v>
      </c>
      <c r="C5621" s="8" t="s">
        <v>12</v>
      </c>
      <c r="D5621" s="9">
        <v>54.86</v>
      </c>
      <c r="E5621" s="8">
        <v>60</v>
      </c>
    </row>
    <row r="5622" s="3" customFormat="1" ht="18.75" spans="1:5">
      <c r="A5622" s="8" t="str">
        <f t="shared" si="98"/>
        <v>250026</v>
      </c>
      <c r="B5622" s="8" t="str">
        <f>"2561406014319"</f>
        <v>2561406014319</v>
      </c>
      <c r="C5622" s="8" t="s">
        <v>12</v>
      </c>
      <c r="D5622" s="9">
        <v>54.81</v>
      </c>
      <c r="E5622" s="8">
        <v>61</v>
      </c>
    </row>
    <row r="5623" s="3" customFormat="1" ht="18.75" spans="1:5">
      <c r="A5623" s="8" t="str">
        <f t="shared" si="98"/>
        <v>250026</v>
      </c>
      <c r="B5623" s="8" t="str">
        <f>"2561406014320"</f>
        <v>2561406014320</v>
      </c>
      <c r="C5623" s="8" t="s">
        <v>12</v>
      </c>
      <c r="D5623" s="9">
        <v>54.69</v>
      </c>
      <c r="E5623" s="8">
        <v>62</v>
      </c>
    </row>
    <row r="5624" s="3" customFormat="1" ht="18.75" spans="1:5">
      <c r="A5624" s="8" t="str">
        <f t="shared" si="98"/>
        <v>250026</v>
      </c>
      <c r="B5624" s="8" t="str">
        <f>"2561406014405"</f>
        <v>2561406014405</v>
      </c>
      <c r="C5624" s="8" t="s">
        <v>12</v>
      </c>
      <c r="D5624" s="9">
        <v>53.91</v>
      </c>
      <c r="E5624" s="8">
        <v>63</v>
      </c>
    </row>
    <row r="5625" s="3" customFormat="1" ht="18.75" spans="1:5">
      <c r="A5625" s="8" t="str">
        <f t="shared" si="98"/>
        <v>250026</v>
      </c>
      <c r="B5625" s="8" t="str">
        <f>"2561406013825"</f>
        <v>2561406013825</v>
      </c>
      <c r="C5625" s="8" t="s">
        <v>12</v>
      </c>
      <c r="D5625" s="9">
        <v>53.82</v>
      </c>
      <c r="E5625" s="8">
        <v>64</v>
      </c>
    </row>
    <row r="5626" s="3" customFormat="1" ht="18.75" spans="1:5">
      <c r="A5626" s="8" t="str">
        <f t="shared" ref="A5626:A5689" si="99">"250026"</f>
        <v>250026</v>
      </c>
      <c r="B5626" s="8" t="str">
        <f>"2561406013814"</f>
        <v>2561406013814</v>
      </c>
      <c r="C5626" s="8" t="s">
        <v>12</v>
      </c>
      <c r="D5626" s="9">
        <v>53.69</v>
      </c>
      <c r="E5626" s="8">
        <v>65</v>
      </c>
    </row>
    <row r="5627" s="3" customFormat="1" ht="18.75" spans="1:5">
      <c r="A5627" s="8" t="str">
        <f t="shared" si="99"/>
        <v>250026</v>
      </c>
      <c r="B5627" s="8" t="str">
        <f>"2561406013904"</f>
        <v>2561406013904</v>
      </c>
      <c r="C5627" s="8" t="s">
        <v>12</v>
      </c>
      <c r="D5627" s="9">
        <v>53.46</v>
      </c>
      <c r="E5627" s="8">
        <v>66</v>
      </c>
    </row>
    <row r="5628" s="3" customFormat="1" ht="18.75" spans="1:5">
      <c r="A5628" s="8" t="str">
        <f t="shared" si="99"/>
        <v>250026</v>
      </c>
      <c r="B5628" s="8" t="str">
        <f>"2561406013823"</f>
        <v>2561406013823</v>
      </c>
      <c r="C5628" s="8" t="s">
        <v>12</v>
      </c>
      <c r="D5628" s="9">
        <v>53.34</v>
      </c>
      <c r="E5628" s="8">
        <v>67</v>
      </c>
    </row>
    <row r="5629" s="3" customFormat="1" ht="18.75" spans="1:5">
      <c r="A5629" s="8" t="str">
        <f t="shared" si="99"/>
        <v>250026</v>
      </c>
      <c r="B5629" s="8" t="str">
        <f>"2561406014126"</f>
        <v>2561406014126</v>
      </c>
      <c r="C5629" s="8" t="s">
        <v>12</v>
      </c>
      <c r="D5629" s="9">
        <v>52.77</v>
      </c>
      <c r="E5629" s="8">
        <v>68</v>
      </c>
    </row>
    <row r="5630" s="3" customFormat="1" ht="18.75" spans="1:5">
      <c r="A5630" s="8" t="str">
        <f t="shared" si="99"/>
        <v>250026</v>
      </c>
      <c r="B5630" s="8" t="str">
        <f>"2561406013914"</f>
        <v>2561406013914</v>
      </c>
      <c r="C5630" s="8" t="s">
        <v>12</v>
      </c>
      <c r="D5630" s="9">
        <v>52.74</v>
      </c>
      <c r="E5630" s="8">
        <v>69</v>
      </c>
    </row>
    <row r="5631" s="3" customFormat="1" ht="18.75" spans="1:5">
      <c r="A5631" s="8" t="str">
        <f t="shared" si="99"/>
        <v>250026</v>
      </c>
      <c r="B5631" s="8" t="str">
        <f>"2561406014209"</f>
        <v>2561406014209</v>
      </c>
      <c r="C5631" s="8" t="s">
        <v>12</v>
      </c>
      <c r="D5631" s="9">
        <v>52.68</v>
      </c>
      <c r="E5631" s="8">
        <v>70</v>
      </c>
    </row>
    <row r="5632" s="3" customFormat="1" ht="18.75" spans="1:5">
      <c r="A5632" s="8" t="str">
        <f t="shared" si="99"/>
        <v>250026</v>
      </c>
      <c r="B5632" s="8" t="str">
        <f>"2561406014019"</f>
        <v>2561406014019</v>
      </c>
      <c r="C5632" s="8" t="s">
        <v>12</v>
      </c>
      <c r="D5632" s="9">
        <v>52.58</v>
      </c>
      <c r="E5632" s="8">
        <v>71</v>
      </c>
    </row>
    <row r="5633" s="3" customFormat="1" ht="18.75" spans="1:5">
      <c r="A5633" s="8" t="str">
        <f t="shared" si="99"/>
        <v>250026</v>
      </c>
      <c r="B5633" s="8" t="str">
        <f>"2561406013913"</f>
        <v>2561406013913</v>
      </c>
      <c r="C5633" s="8" t="s">
        <v>12</v>
      </c>
      <c r="D5633" s="9">
        <v>51.96</v>
      </c>
      <c r="E5633" s="8">
        <v>72</v>
      </c>
    </row>
    <row r="5634" s="3" customFormat="1" ht="18.75" spans="1:5">
      <c r="A5634" s="8" t="str">
        <f t="shared" si="99"/>
        <v>250026</v>
      </c>
      <c r="B5634" s="8" t="str">
        <f>"2561406014615"</f>
        <v>2561406014615</v>
      </c>
      <c r="C5634" s="8" t="s">
        <v>12</v>
      </c>
      <c r="D5634" s="9">
        <v>51.95</v>
      </c>
      <c r="E5634" s="8">
        <v>73</v>
      </c>
    </row>
    <row r="5635" s="3" customFormat="1" ht="18.75" spans="1:5">
      <c r="A5635" s="8" t="str">
        <f t="shared" si="99"/>
        <v>250026</v>
      </c>
      <c r="B5635" s="8" t="str">
        <f>"2561406014228"</f>
        <v>2561406014228</v>
      </c>
      <c r="C5635" s="8" t="s">
        <v>12</v>
      </c>
      <c r="D5635" s="9">
        <v>51.76</v>
      </c>
      <c r="E5635" s="8">
        <v>74</v>
      </c>
    </row>
    <row r="5636" s="3" customFormat="1" ht="18.75" spans="1:5">
      <c r="A5636" s="8" t="str">
        <f t="shared" si="99"/>
        <v>250026</v>
      </c>
      <c r="B5636" s="8" t="str">
        <f>"2561406014322"</f>
        <v>2561406014322</v>
      </c>
      <c r="C5636" s="8" t="s">
        <v>12</v>
      </c>
      <c r="D5636" s="9">
        <v>51.03</v>
      </c>
      <c r="E5636" s="8">
        <v>75</v>
      </c>
    </row>
    <row r="5637" s="3" customFormat="1" ht="18.75" spans="1:5">
      <c r="A5637" s="8" t="str">
        <f t="shared" si="99"/>
        <v>250026</v>
      </c>
      <c r="B5637" s="8" t="str">
        <f>"2561406014223"</f>
        <v>2561406014223</v>
      </c>
      <c r="C5637" s="8" t="s">
        <v>12</v>
      </c>
      <c r="D5637" s="9">
        <v>50.88</v>
      </c>
      <c r="E5637" s="8">
        <v>76</v>
      </c>
    </row>
    <row r="5638" s="3" customFormat="1" ht="18.75" spans="1:5">
      <c r="A5638" s="8" t="str">
        <f t="shared" si="99"/>
        <v>250026</v>
      </c>
      <c r="B5638" s="8" t="str">
        <f>"2561406014212"</f>
        <v>2561406014212</v>
      </c>
      <c r="C5638" s="8" t="s">
        <v>12</v>
      </c>
      <c r="D5638" s="9">
        <v>50.85</v>
      </c>
      <c r="E5638" s="8">
        <v>77</v>
      </c>
    </row>
    <row r="5639" s="3" customFormat="1" ht="18.75" spans="1:5">
      <c r="A5639" s="8" t="str">
        <f t="shared" si="99"/>
        <v>250026</v>
      </c>
      <c r="B5639" s="8" t="str">
        <f>"2561406014415"</f>
        <v>2561406014415</v>
      </c>
      <c r="C5639" s="8" t="s">
        <v>12</v>
      </c>
      <c r="D5639" s="9">
        <v>50.6</v>
      </c>
      <c r="E5639" s="8">
        <v>78</v>
      </c>
    </row>
    <row r="5640" s="3" customFormat="1" ht="18.75" spans="1:5">
      <c r="A5640" s="8" t="str">
        <f t="shared" si="99"/>
        <v>250026</v>
      </c>
      <c r="B5640" s="8" t="str">
        <f>"2561406014205"</f>
        <v>2561406014205</v>
      </c>
      <c r="C5640" s="8" t="s">
        <v>12</v>
      </c>
      <c r="D5640" s="9">
        <v>50.36</v>
      </c>
      <c r="E5640" s="8">
        <v>79</v>
      </c>
    </row>
    <row r="5641" s="3" customFormat="1" ht="18.75" spans="1:5">
      <c r="A5641" s="8" t="str">
        <f t="shared" si="99"/>
        <v>250026</v>
      </c>
      <c r="B5641" s="8" t="str">
        <f>"2561406013908"</f>
        <v>2561406013908</v>
      </c>
      <c r="C5641" s="8" t="s">
        <v>12</v>
      </c>
      <c r="D5641" s="9">
        <v>50.18</v>
      </c>
      <c r="E5641" s="8">
        <v>80</v>
      </c>
    </row>
    <row r="5642" s="3" customFormat="1" ht="18.75" spans="1:5">
      <c r="A5642" s="8" t="str">
        <f t="shared" si="99"/>
        <v>250026</v>
      </c>
      <c r="B5642" s="8" t="str">
        <f>"2561406014411"</f>
        <v>2561406014411</v>
      </c>
      <c r="C5642" s="8" t="s">
        <v>12</v>
      </c>
      <c r="D5642" s="9">
        <v>50.16</v>
      </c>
      <c r="E5642" s="8">
        <v>81</v>
      </c>
    </row>
    <row r="5643" s="3" customFormat="1" ht="18.75" spans="1:5">
      <c r="A5643" s="8" t="str">
        <f t="shared" si="99"/>
        <v>250026</v>
      </c>
      <c r="B5643" s="8" t="str">
        <f>"2561406014215"</f>
        <v>2561406014215</v>
      </c>
      <c r="C5643" s="8" t="s">
        <v>12</v>
      </c>
      <c r="D5643" s="9">
        <v>50.02</v>
      </c>
      <c r="E5643" s="8">
        <v>82</v>
      </c>
    </row>
    <row r="5644" s="3" customFormat="1" ht="18.75" spans="1:5">
      <c r="A5644" s="8" t="str">
        <f t="shared" si="99"/>
        <v>250026</v>
      </c>
      <c r="B5644" s="8" t="str">
        <f>"2561406014220"</f>
        <v>2561406014220</v>
      </c>
      <c r="C5644" s="8" t="s">
        <v>12</v>
      </c>
      <c r="D5644" s="9">
        <v>50.01</v>
      </c>
      <c r="E5644" s="8">
        <v>83</v>
      </c>
    </row>
    <row r="5645" s="3" customFormat="1" ht="18.75" spans="1:5">
      <c r="A5645" s="8" t="str">
        <f t="shared" si="99"/>
        <v>250026</v>
      </c>
      <c r="B5645" s="8" t="str">
        <f>"2561406014111"</f>
        <v>2561406014111</v>
      </c>
      <c r="C5645" s="8" t="s">
        <v>12</v>
      </c>
      <c r="D5645" s="9">
        <v>49.95</v>
      </c>
      <c r="E5645" s="8">
        <v>84</v>
      </c>
    </row>
    <row r="5646" s="3" customFormat="1" ht="18.75" spans="1:5">
      <c r="A5646" s="8" t="str">
        <f t="shared" si="99"/>
        <v>250026</v>
      </c>
      <c r="B5646" s="8" t="str">
        <f>"2561406014614"</f>
        <v>2561406014614</v>
      </c>
      <c r="C5646" s="8" t="s">
        <v>12</v>
      </c>
      <c r="D5646" s="9">
        <v>49.05</v>
      </c>
      <c r="E5646" s="8">
        <v>85</v>
      </c>
    </row>
    <row r="5647" s="3" customFormat="1" ht="18.75" spans="1:5">
      <c r="A5647" s="8" t="str">
        <f t="shared" si="99"/>
        <v>250026</v>
      </c>
      <c r="B5647" s="8" t="str">
        <f>"2561406013827"</f>
        <v>2561406013827</v>
      </c>
      <c r="C5647" s="8" t="s">
        <v>12</v>
      </c>
      <c r="D5647" s="9">
        <v>48.75</v>
      </c>
      <c r="E5647" s="8">
        <v>86</v>
      </c>
    </row>
    <row r="5648" s="3" customFormat="1" ht="18.75" spans="1:5">
      <c r="A5648" s="8" t="str">
        <f t="shared" si="99"/>
        <v>250026</v>
      </c>
      <c r="B5648" s="8" t="str">
        <f>"2561406014413"</f>
        <v>2561406014413</v>
      </c>
      <c r="C5648" s="8" t="s">
        <v>12</v>
      </c>
      <c r="D5648" s="9">
        <v>48.07</v>
      </c>
      <c r="E5648" s="8">
        <v>87</v>
      </c>
    </row>
    <row r="5649" s="3" customFormat="1" ht="18.75" spans="1:5">
      <c r="A5649" s="8" t="str">
        <f t="shared" si="99"/>
        <v>250026</v>
      </c>
      <c r="B5649" s="8" t="str">
        <f>"2561406014304"</f>
        <v>2561406014304</v>
      </c>
      <c r="C5649" s="8" t="s">
        <v>12</v>
      </c>
      <c r="D5649" s="9">
        <v>47.94</v>
      </c>
      <c r="E5649" s="8">
        <v>88</v>
      </c>
    </row>
    <row r="5650" s="3" customFormat="1" ht="18.75" spans="1:5">
      <c r="A5650" s="8" t="str">
        <f t="shared" si="99"/>
        <v>250026</v>
      </c>
      <c r="B5650" s="8" t="str">
        <f>"2561406014027"</f>
        <v>2561406014027</v>
      </c>
      <c r="C5650" s="8" t="s">
        <v>12</v>
      </c>
      <c r="D5650" s="9">
        <v>47.1</v>
      </c>
      <c r="E5650" s="8">
        <v>89</v>
      </c>
    </row>
    <row r="5651" s="3" customFormat="1" ht="18.75" spans="1:5">
      <c r="A5651" s="8" t="str">
        <f t="shared" si="99"/>
        <v>250026</v>
      </c>
      <c r="B5651" s="8" t="str">
        <f>"2561406014414"</f>
        <v>2561406014414</v>
      </c>
      <c r="C5651" s="8" t="s">
        <v>12</v>
      </c>
      <c r="D5651" s="9">
        <v>47.06</v>
      </c>
      <c r="E5651" s="8">
        <v>90</v>
      </c>
    </row>
    <row r="5652" s="3" customFormat="1" ht="18.75" spans="1:5">
      <c r="A5652" s="8" t="str">
        <f t="shared" si="99"/>
        <v>250026</v>
      </c>
      <c r="B5652" s="8" t="str">
        <f>"2561406014407"</f>
        <v>2561406014407</v>
      </c>
      <c r="C5652" s="8" t="s">
        <v>12</v>
      </c>
      <c r="D5652" s="9">
        <v>40.88</v>
      </c>
      <c r="E5652" s="8">
        <v>91</v>
      </c>
    </row>
    <row r="5653" s="3" customFormat="1" ht="18.75" spans="1:5">
      <c r="A5653" s="8" t="str">
        <f t="shared" si="99"/>
        <v>250026</v>
      </c>
      <c r="B5653" s="8" t="str">
        <f>"2561406014418"</f>
        <v>2561406014418</v>
      </c>
      <c r="C5653" s="8" t="s">
        <v>12</v>
      </c>
      <c r="D5653" s="9">
        <v>40.34</v>
      </c>
      <c r="E5653" s="8">
        <v>92</v>
      </c>
    </row>
    <row r="5654" s="3" customFormat="1" ht="18.75" spans="1:5">
      <c r="A5654" s="8" t="str">
        <f t="shared" si="99"/>
        <v>250026</v>
      </c>
      <c r="B5654" s="8" t="str">
        <f>"2561406013923"</f>
        <v>2561406013923</v>
      </c>
      <c r="C5654" s="8" t="s">
        <v>12</v>
      </c>
      <c r="D5654" s="9">
        <v>40.07</v>
      </c>
      <c r="E5654" s="8">
        <v>93</v>
      </c>
    </row>
    <row r="5655" s="3" customFormat="1" ht="18.75" spans="1:5">
      <c r="A5655" s="8" t="str">
        <f t="shared" si="99"/>
        <v>250026</v>
      </c>
      <c r="B5655" s="8" t="str">
        <f>"2561406013812"</f>
        <v>2561406013812</v>
      </c>
      <c r="C5655" s="8" t="s">
        <v>12</v>
      </c>
      <c r="D5655" s="9">
        <v>0</v>
      </c>
      <c r="E5655" s="8">
        <v>94</v>
      </c>
    </row>
    <row r="5656" s="3" customFormat="1" ht="18.75" spans="1:5">
      <c r="A5656" s="8" t="str">
        <f t="shared" si="99"/>
        <v>250026</v>
      </c>
      <c r="B5656" s="8" t="str">
        <f>"2561406013815"</f>
        <v>2561406013815</v>
      </c>
      <c r="C5656" s="8" t="s">
        <v>12</v>
      </c>
      <c r="D5656" s="9">
        <v>0</v>
      </c>
      <c r="E5656" s="8">
        <v>94</v>
      </c>
    </row>
    <row r="5657" s="3" customFormat="1" ht="18.75" spans="1:5">
      <c r="A5657" s="8" t="str">
        <f t="shared" si="99"/>
        <v>250026</v>
      </c>
      <c r="B5657" s="8" t="str">
        <f>"2561406013816"</f>
        <v>2561406013816</v>
      </c>
      <c r="C5657" s="8" t="s">
        <v>12</v>
      </c>
      <c r="D5657" s="9">
        <v>0</v>
      </c>
      <c r="E5657" s="8">
        <v>94</v>
      </c>
    </row>
    <row r="5658" s="3" customFormat="1" ht="18.75" spans="1:5">
      <c r="A5658" s="8" t="str">
        <f t="shared" si="99"/>
        <v>250026</v>
      </c>
      <c r="B5658" s="8" t="str">
        <f>"2561406013817"</f>
        <v>2561406013817</v>
      </c>
      <c r="C5658" s="8" t="s">
        <v>12</v>
      </c>
      <c r="D5658" s="9">
        <v>0</v>
      </c>
      <c r="E5658" s="8">
        <v>94</v>
      </c>
    </row>
    <row r="5659" s="3" customFormat="1" ht="18.75" spans="1:5">
      <c r="A5659" s="8" t="str">
        <f t="shared" si="99"/>
        <v>250026</v>
      </c>
      <c r="B5659" s="8" t="str">
        <f>"2561406013818"</f>
        <v>2561406013818</v>
      </c>
      <c r="C5659" s="8" t="s">
        <v>12</v>
      </c>
      <c r="D5659" s="9">
        <v>0</v>
      </c>
      <c r="E5659" s="8">
        <v>94</v>
      </c>
    </row>
    <row r="5660" s="3" customFormat="1" ht="18.75" spans="1:5">
      <c r="A5660" s="8" t="str">
        <f t="shared" si="99"/>
        <v>250026</v>
      </c>
      <c r="B5660" s="8" t="str">
        <f>"2561406013819"</f>
        <v>2561406013819</v>
      </c>
      <c r="C5660" s="8" t="s">
        <v>12</v>
      </c>
      <c r="D5660" s="9">
        <v>0</v>
      </c>
      <c r="E5660" s="8">
        <v>94</v>
      </c>
    </row>
    <row r="5661" s="3" customFormat="1" ht="18.75" spans="1:5">
      <c r="A5661" s="8" t="str">
        <f t="shared" si="99"/>
        <v>250026</v>
      </c>
      <c r="B5661" s="8" t="str">
        <f>"2561406013821"</f>
        <v>2561406013821</v>
      </c>
      <c r="C5661" s="8" t="s">
        <v>12</v>
      </c>
      <c r="D5661" s="9">
        <v>0</v>
      </c>
      <c r="E5661" s="8">
        <v>94</v>
      </c>
    </row>
    <row r="5662" s="3" customFormat="1" ht="18.75" spans="1:5">
      <c r="A5662" s="8" t="str">
        <f t="shared" si="99"/>
        <v>250026</v>
      </c>
      <c r="B5662" s="8" t="str">
        <f>"2561406013824"</f>
        <v>2561406013824</v>
      </c>
      <c r="C5662" s="8" t="s">
        <v>12</v>
      </c>
      <c r="D5662" s="9">
        <v>0</v>
      </c>
      <c r="E5662" s="8">
        <v>94</v>
      </c>
    </row>
    <row r="5663" s="3" customFormat="1" ht="18.75" spans="1:5">
      <c r="A5663" s="8" t="str">
        <f t="shared" si="99"/>
        <v>250026</v>
      </c>
      <c r="B5663" s="8" t="str">
        <f>"2561406013828"</f>
        <v>2561406013828</v>
      </c>
      <c r="C5663" s="8" t="s">
        <v>12</v>
      </c>
      <c r="D5663" s="9">
        <v>0</v>
      </c>
      <c r="E5663" s="8">
        <v>94</v>
      </c>
    </row>
    <row r="5664" s="3" customFormat="1" ht="18.75" spans="1:5">
      <c r="A5664" s="8" t="str">
        <f t="shared" si="99"/>
        <v>250026</v>
      </c>
      <c r="B5664" s="8" t="str">
        <f>"2561406013830"</f>
        <v>2561406013830</v>
      </c>
      <c r="C5664" s="8" t="s">
        <v>12</v>
      </c>
      <c r="D5664" s="9">
        <v>0</v>
      </c>
      <c r="E5664" s="8">
        <v>94</v>
      </c>
    </row>
    <row r="5665" s="3" customFormat="1" ht="18.75" spans="1:5">
      <c r="A5665" s="8" t="str">
        <f t="shared" si="99"/>
        <v>250026</v>
      </c>
      <c r="B5665" s="8" t="str">
        <f>"2561406013901"</f>
        <v>2561406013901</v>
      </c>
      <c r="C5665" s="8" t="s">
        <v>12</v>
      </c>
      <c r="D5665" s="9">
        <v>0</v>
      </c>
      <c r="E5665" s="8">
        <v>94</v>
      </c>
    </row>
    <row r="5666" s="3" customFormat="1" ht="18.75" spans="1:5">
      <c r="A5666" s="8" t="str">
        <f t="shared" si="99"/>
        <v>250026</v>
      </c>
      <c r="B5666" s="8" t="str">
        <f>"2561406013903"</f>
        <v>2561406013903</v>
      </c>
      <c r="C5666" s="8" t="s">
        <v>12</v>
      </c>
      <c r="D5666" s="9">
        <v>0</v>
      </c>
      <c r="E5666" s="8">
        <v>94</v>
      </c>
    </row>
    <row r="5667" s="3" customFormat="1" ht="18.75" spans="1:5">
      <c r="A5667" s="8" t="str">
        <f t="shared" si="99"/>
        <v>250026</v>
      </c>
      <c r="B5667" s="8" t="str">
        <f>"2561406013905"</f>
        <v>2561406013905</v>
      </c>
      <c r="C5667" s="8" t="s">
        <v>12</v>
      </c>
      <c r="D5667" s="9">
        <v>0</v>
      </c>
      <c r="E5667" s="8">
        <v>94</v>
      </c>
    </row>
    <row r="5668" s="3" customFormat="1" ht="18.75" spans="1:5">
      <c r="A5668" s="8" t="str">
        <f t="shared" si="99"/>
        <v>250026</v>
      </c>
      <c r="B5668" s="8" t="str">
        <f>"2561406013907"</f>
        <v>2561406013907</v>
      </c>
      <c r="C5668" s="8" t="s">
        <v>12</v>
      </c>
      <c r="D5668" s="9">
        <v>0</v>
      </c>
      <c r="E5668" s="8">
        <v>94</v>
      </c>
    </row>
    <row r="5669" s="3" customFormat="1" ht="18.75" spans="1:5">
      <c r="A5669" s="8" t="str">
        <f t="shared" si="99"/>
        <v>250026</v>
      </c>
      <c r="B5669" s="8" t="str">
        <f>"2561406013909"</f>
        <v>2561406013909</v>
      </c>
      <c r="C5669" s="8" t="s">
        <v>12</v>
      </c>
      <c r="D5669" s="9">
        <v>0</v>
      </c>
      <c r="E5669" s="8">
        <v>94</v>
      </c>
    </row>
    <row r="5670" s="3" customFormat="1" ht="18.75" spans="1:5">
      <c r="A5670" s="8" t="str">
        <f t="shared" si="99"/>
        <v>250026</v>
      </c>
      <c r="B5670" s="8" t="str">
        <f>"2561406013910"</f>
        <v>2561406013910</v>
      </c>
      <c r="C5670" s="8" t="s">
        <v>12</v>
      </c>
      <c r="D5670" s="9">
        <v>0</v>
      </c>
      <c r="E5670" s="8">
        <v>94</v>
      </c>
    </row>
    <row r="5671" s="3" customFormat="1" ht="18.75" spans="1:5">
      <c r="A5671" s="8" t="str">
        <f t="shared" si="99"/>
        <v>250026</v>
      </c>
      <c r="B5671" s="8" t="str">
        <f>"2561406013915"</f>
        <v>2561406013915</v>
      </c>
      <c r="C5671" s="8" t="s">
        <v>12</v>
      </c>
      <c r="D5671" s="9">
        <v>0</v>
      </c>
      <c r="E5671" s="8">
        <v>94</v>
      </c>
    </row>
    <row r="5672" s="3" customFormat="1" ht="18.75" spans="1:5">
      <c r="A5672" s="8" t="str">
        <f t="shared" si="99"/>
        <v>250026</v>
      </c>
      <c r="B5672" s="8" t="str">
        <f>"2561406013917"</f>
        <v>2561406013917</v>
      </c>
      <c r="C5672" s="8" t="s">
        <v>12</v>
      </c>
      <c r="D5672" s="9">
        <v>0</v>
      </c>
      <c r="E5672" s="8">
        <v>94</v>
      </c>
    </row>
    <row r="5673" s="3" customFormat="1" ht="18.75" spans="1:5">
      <c r="A5673" s="8" t="str">
        <f t="shared" si="99"/>
        <v>250026</v>
      </c>
      <c r="B5673" s="8" t="str">
        <f>"2561406013918"</f>
        <v>2561406013918</v>
      </c>
      <c r="C5673" s="8" t="s">
        <v>12</v>
      </c>
      <c r="D5673" s="9">
        <v>0</v>
      </c>
      <c r="E5673" s="8">
        <v>94</v>
      </c>
    </row>
    <row r="5674" s="3" customFormat="1" ht="18.75" spans="1:5">
      <c r="A5674" s="8" t="str">
        <f t="shared" si="99"/>
        <v>250026</v>
      </c>
      <c r="B5674" s="8" t="str">
        <f>"2561406013919"</f>
        <v>2561406013919</v>
      </c>
      <c r="C5674" s="8" t="s">
        <v>12</v>
      </c>
      <c r="D5674" s="9">
        <v>0</v>
      </c>
      <c r="E5674" s="8">
        <v>94</v>
      </c>
    </row>
    <row r="5675" s="3" customFormat="1" ht="18.75" spans="1:5">
      <c r="A5675" s="8" t="str">
        <f t="shared" si="99"/>
        <v>250026</v>
      </c>
      <c r="B5675" s="8" t="str">
        <f>"2561406013920"</f>
        <v>2561406013920</v>
      </c>
      <c r="C5675" s="8" t="s">
        <v>12</v>
      </c>
      <c r="D5675" s="9">
        <v>0</v>
      </c>
      <c r="E5675" s="8">
        <v>94</v>
      </c>
    </row>
    <row r="5676" s="3" customFormat="1" ht="18.75" spans="1:5">
      <c r="A5676" s="8" t="str">
        <f t="shared" si="99"/>
        <v>250026</v>
      </c>
      <c r="B5676" s="8" t="str">
        <f>"2561406013921"</f>
        <v>2561406013921</v>
      </c>
      <c r="C5676" s="8" t="s">
        <v>12</v>
      </c>
      <c r="D5676" s="9">
        <v>0</v>
      </c>
      <c r="E5676" s="8">
        <v>94</v>
      </c>
    </row>
    <row r="5677" s="3" customFormat="1" ht="18.75" spans="1:5">
      <c r="A5677" s="8" t="str">
        <f t="shared" si="99"/>
        <v>250026</v>
      </c>
      <c r="B5677" s="8" t="str">
        <f>"2561406013925"</f>
        <v>2561406013925</v>
      </c>
      <c r="C5677" s="8" t="s">
        <v>12</v>
      </c>
      <c r="D5677" s="9">
        <v>0</v>
      </c>
      <c r="E5677" s="8">
        <v>94</v>
      </c>
    </row>
    <row r="5678" s="3" customFormat="1" ht="18.75" spans="1:5">
      <c r="A5678" s="8" t="str">
        <f t="shared" si="99"/>
        <v>250026</v>
      </c>
      <c r="B5678" s="8" t="str">
        <f>"2561406013926"</f>
        <v>2561406013926</v>
      </c>
      <c r="C5678" s="8" t="s">
        <v>12</v>
      </c>
      <c r="D5678" s="9">
        <v>0</v>
      </c>
      <c r="E5678" s="8">
        <v>94</v>
      </c>
    </row>
    <row r="5679" s="3" customFormat="1" ht="18.75" spans="1:5">
      <c r="A5679" s="8" t="str">
        <f t="shared" si="99"/>
        <v>250026</v>
      </c>
      <c r="B5679" s="8" t="str">
        <f>"2561406013927"</f>
        <v>2561406013927</v>
      </c>
      <c r="C5679" s="8" t="s">
        <v>12</v>
      </c>
      <c r="D5679" s="9">
        <v>0</v>
      </c>
      <c r="E5679" s="8">
        <v>94</v>
      </c>
    </row>
    <row r="5680" s="3" customFormat="1" ht="18.75" spans="1:5">
      <c r="A5680" s="8" t="str">
        <f t="shared" si="99"/>
        <v>250026</v>
      </c>
      <c r="B5680" s="8" t="str">
        <f>"2561406013929"</f>
        <v>2561406013929</v>
      </c>
      <c r="C5680" s="8" t="s">
        <v>12</v>
      </c>
      <c r="D5680" s="9">
        <v>0</v>
      </c>
      <c r="E5680" s="8">
        <v>94</v>
      </c>
    </row>
    <row r="5681" s="3" customFormat="1" ht="18.75" spans="1:5">
      <c r="A5681" s="8" t="str">
        <f t="shared" si="99"/>
        <v>250026</v>
      </c>
      <c r="B5681" s="8" t="str">
        <f>"2561406013930"</f>
        <v>2561406013930</v>
      </c>
      <c r="C5681" s="8" t="s">
        <v>12</v>
      </c>
      <c r="D5681" s="9">
        <v>0</v>
      </c>
      <c r="E5681" s="8">
        <v>94</v>
      </c>
    </row>
    <row r="5682" s="3" customFormat="1" ht="18.75" spans="1:5">
      <c r="A5682" s="8" t="str">
        <f t="shared" si="99"/>
        <v>250026</v>
      </c>
      <c r="B5682" s="8" t="str">
        <f>"2561406014002"</f>
        <v>2561406014002</v>
      </c>
      <c r="C5682" s="8" t="s">
        <v>12</v>
      </c>
      <c r="D5682" s="9">
        <v>0</v>
      </c>
      <c r="E5682" s="8">
        <v>94</v>
      </c>
    </row>
    <row r="5683" s="3" customFormat="1" ht="18.75" spans="1:5">
      <c r="A5683" s="8" t="str">
        <f t="shared" si="99"/>
        <v>250026</v>
      </c>
      <c r="B5683" s="8" t="str">
        <f>"2561406014003"</f>
        <v>2561406014003</v>
      </c>
      <c r="C5683" s="8" t="s">
        <v>12</v>
      </c>
      <c r="D5683" s="9">
        <v>0</v>
      </c>
      <c r="E5683" s="8">
        <v>94</v>
      </c>
    </row>
    <row r="5684" s="3" customFormat="1" ht="18.75" spans="1:5">
      <c r="A5684" s="8" t="str">
        <f t="shared" si="99"/>
        <v>250026</v>
      </c>
      <c r="B5684" s="8" t="str">
        <f>"2561406014004"</f>
        <v>2561406014004</v>
      </c>
      <c r="C5684" s="8" t="s">
        <v>12</v>
      </c>
      <c r="D5684" s="9">
        <v>0</v>
      </c>
      <c r="E5684" s="8">
        <v>94</v>
      </c>
    </row>
    <row r="5685" s="3" customFormat="1" ht="18.75" spans="1:5">
      <c r="A5685" s="8" t="str">
        <f t="shared" si="99"/>
        <v>250026</v>
      </c>
      <c r="B5685" s="8" t="str">
        <f>"2561406014005"</f>
        <v>2561406014005</v>
      </c>
      <c r="C5685" s="8" t="s">
        <v>12</v>
      </c>
      <c r="D5685" s="9">
        <v>0</v>
      </c>
      <c r="E5685" s="8">
        <v>94</v>
      </c>
    </row>
    <row r="5686" s="3" customFormat="1" ht="18.75" spans="1:5">
      <c r="A5686" s="8" t="str">
        <f t="shared" si="99"/>
        <v>250026</v>
      </c>
      <c r="B5686" s="8" t="str">
        <f>"2561406014006"</f>
        <v>2561406014006</v>
      </c>
      <c r="C5686" s="8" t="s">
        <v>12</v>
      </c>
      <c r="D5686" s="9">
        <v>0</v>
      </c>
      <c r="E5686" s="8">
        <v>94</v>
      </c>
    </row>
    <row r="5687" s="3" customFormat="1" ht="18.75" spans="1:5">
      <c r="A5687" s="8" t="str">
        <f t="shared" si="99"/>
        <v>250026</v>
      </c>
      <c r="B5687" s="8" t="str">
        <f>"2561406014009"</f>
        <v>2561406014009</v>
      </c>
      <c r="C5687" s="8" t="s">
        <v>12</v>
      </c>
      <c r="D5687" s="9">
        <v>0</v>
      </c>
      <c r="E5687" s="8">
        <v>94</v>
      </c>
    </row>
    <row r="5688" s="3" customFormat="1" ht="18.75" spans="1:5">
      <c r="A5688" s="8" t="str">
        <f t="shared" si="99"/>
        <v>250026</v>
      </c>
      <c r="B5688" s="8" t="str">
        <f>"2561406014010"</f>
        <v>2561406014010</v>
      </c>
      <c r="C5688" s="8" t="s">
        <v>12</v>
      </c>
      <c r="D5688" s="9">
        <v>0</v>
      </c>
      <c r="E5688" s="8">
        <v>94</v>
      </c>
    </row>
    <row r="5689" s="3" customFormat="1" ht="18.75" spans="1:5">
      <c r="A5689" s="8" t="str">
        <f t="shared" si="99"/>
        <v>250026</v>
      </c>
      <c r="B5689" s="8" t="str">
        <f>"2561406014011"</f>
        <v>2561406014011</v>
      </c>
      <c r="C5689" s="8" t="s">
        <v>12</v>
      </c>
      <c r="D5689" s="9">
        <v>0</v>
      </c>
      <c r="E5689" s="8">
        <v>94</v>
      </c>
    </row>
    <row r="5690" s="3" customFormat="1" ht="18.75" spans="1:5">
      <c r="A5690" s="8" t="str">
        <f t="shared" ref="A5690:A5753" si="100">"250026"</f>
        <v>250026</v>
      </c>
      <c r="B5690" s="8" t="str">
        <f>"2561406014012"</f>
        <v>2561406014012</v>
      </c>
      <c r="C5690" s="8" t="s">
        <v>12</v>
      </c>
      <c r="D5690" s="9">
        <v>0</v>
      </c>
      <c r="E5690" s="8">
        <v>94</v>
      </c>
    </row>
    <row r="5691" s="3" customFormat="1" ht="18.75" spans="1:5">
      <c r="A5691" s="8" t="str">
        <f t="shared" si="100"/>
        <v>250026</v>
      </c>
      <c r="B5691" s="8" t="str">
        <f>"2561406014013"</f>
        <v>2561406014013</v>
      </c>
      <c r="C5691" s="8" t="s">
        <v>12</v>
      </c>
      <c r="D5691" s="9">
        <v>0</v>
      </c>
      <c r="E5691" s="8">
        <v>94</v>
      </c>
    </row>
    <row r="5692" s="3" customFormat="1" ht="18.75" spans="1:5">
      <c r="A5692" s="8" t="str">
        <f t="shared" si="100"/>
        <v>250026</v>
      </c>
      <c r="B5692" s="8" t="str">
        <f>"2561406014014"</f>
        <v>2561406014014</v>
      </c>
      <c r="C5692" s="8" t="s">
        <v>12</v>
      </c>
      <c r="D5692" s="9">
        <v>0</v>
      </c>
      <c r="E5692" s="8">
        <v>94</v>
      </c>
    </row>
    <row r="5693" s="3" customFormat="1" ht="18.75" spans="1:5">
      <c r="A5693" s="8" t="str">
        <f t="shared" si="100"/>
        <v>250026</v>
      </c>
      <c r="B5693" s="8" t="str">
        <f>"2561406014016"</f>
        <v>2561406014016</v>
      </c>
      <c r="C5693" s="8" t="s">
        <v>12</v>
      </c>
      <c r="D5693" s="9">
        <v>0</v>
      </c>
      <c r="E5693" s="8">
        <v>94</v>
      </c>
    </row>
    <row r="5694" s="3" customFormat="1" ht="18.75" spans="1:5">
      <c r="A5694" s="8" t="str">
        <f t="shared" si="100"/>
        <v>250026</v>
      </c>
      <c r="B5694" s="8" t="str">
        <f>"2561406014017"</f>
        <v>2561406014017</v>
      </c>
      <c r="C5694" s="8" t="s">
        <v>12</v>
      </c>
      <c r="D5694" s="9">
        <v>0</v>
      </c>
      <c r="E5694" s="8">
        <v>94</v>
      </c>
    </row>
    <row r="5695" s="3" customFormat="1" ht="18.75" spans="1:5">
      <c r="A5695" s="8" t="str">
        <f t="shared" si="100"/>
        <v>250026</v>
      </c>
      <c r="B5695" s="8" t="str">
        <f>"2561406014018"</f>
        <v>2561406014018</v>
      </c>
      <c r="C5695" s="8" t="s">
        <v>12</v>
      </c>
      <c r="D5695" s="9">
        <v>0</v>
      </c>
      <c r="E5695" s="8">
        <v>94</v>
      </c>
    </row>
    <row r="5696" s="3" customFormat="1" ht="18.75" spans="1:5">
      <c r="A5696" s="8" t="str">
        <f t="shared" si="100"/>
        <v>250026</v>
      </c>
      <c r="B5696" s="8" t="str">
        <f>"2561406014021"</f>
        <v>2561406014021</v>
      </c>
      <c r="C5696" s="8" t="s">
        <v>12</v>
      </c>
      <c r="D5696" s="9">
        <v>0</v>
      </c>
      <c r="E5696" s="8">
        <v>94</v>
      </c>
    </row>
    <row r="5697" s="3" customFormat="1" ht="18.75" spans="1:5">
      <c r="A5697" s="8" t="str">
        <f t="shared" si="100"/>
        <v>250026</v>
      </c>
      <c r="B5697" s="8" t="str">
        <f>"2561406014023"</f>
        <v>2561406014023</v>
      </c>
      <c r="C5697" s="8" t="s">
        <v>12</v>
      </c>
      <c r="D5697" s="9">
        <v>0</v>
      </c>
      <c r="E5697" s="8">
        <v>94</v>
      </c>
    </row>
    <row r="5698" s="3" customFormat="1" ht="18.75" spans="1:5">
      <c r="A5698" s="8" t="str">
        <f t="shared" si="100"/>
        <v>250026</v>
      </c>
      <c r="B5698" s="8" t="str">
        <f>"2561406014024"</f>
        <v>2561406014024</v>
      </c>
      <c r="C5698" s="8" t="s">
        <v>12</v>
      </c>
      <c r="D5698" s="9">
        <v>0</v>
      </c>
      <c r="E5698" s="8">
        <v>94</v>
      </c>
    </row>
    <row r="5699" s="3" customFormat="1" ht="18.75" spans="1:5">
      <c r="A5699" s="8" t="str">
        <f t="shared" si="100"/>
        <v>250026</v>
      </c>
      <c r="B5699" s="8" t="str">
        <f>"2561406014029"</f>
        <v>2561406014029</v>
      </c>
      <c r="C5699" s="8" t="s">
        <v>12</v>
      </c>
      <c r="D5699" s="9">
        <v>0</v>
      </c>
      <c r="E5699" s="8">
        <v>94</v>
      </c>
    </row>
    <row r="5700" s="3" customFormat="1" ht="18.75" spans="1:5">
      <c r="A5700" s="8" t="str">
        <f t="shared" si="100"/>
        <v>250026</v>
      </c>
      <c r="B5700" s="8" t="str">
        <f>"2561406014030"</f>
        <v>2561406014030</v>
      </c>
      <c r="C5700" s="8" t="s">
        <v>12</v>
      </c>
      <c r="D5700" s="9">
        <v>0</v>
      </c>
      <c r="E5700" s="8">
        <v>94</v>
      </c>
    </row>
    <row r="5701" s="3" customFormat="1" ht="18.75" spans="1:5">
      <c r="A5701" s="8" t="str">
        <f t="shared" si="100"/>
        <v>250026</v>
      </c>
      <c r="B5701" s="8" t="str">
        <f>"2561406014102"</f>
        <v>2561406014102</v>
      </c>
      <c r="C5701" s="8" t="s">
        <v>12</v>
      </c>
      <c r="D5701" s="9">
        <v>0</v>
      </c>
      <c r="E5701" s="8">
        <v>94</v>
      </c>
    </row>
    <row r="5702" s="3" customFormat="1" ht="18.75" spans="1:5">
      <c r="A5702" s="8" t="str">
        <f t="shared" si="100"/>
        <v>250026</v>
      </c>
      <c r="B5702" s="8" t="str">
        <f>"2561406014103"</f>
        <v>2561406014103</v>
      </c>
      <c r="C5702" s="8" t="s">
        <v>12</v>
      </c>
      <c r="D5702" s="9">
        <v>0</v>
      </c>
      <c r="E5702" s="8">
        <v>94</v>
      </c>
    </row>
    <row r="5703" s="3" customFormat="1" ht="18.75" spans="1:5">
      <c r="A5703" s="8" t="str">
        <f t="shared" si="100"/>
        <v>250026</v>
      </c>
      <c r="B5703" s="8" t="str">
        <f>"2561406014105"</f>
        <v>2561406014105</v>
      </c>
      <c r="C5703" s="8" t="s">
        <v>12</v>
      </c>
      <c r="D5703" s="9">
        <v>0</v>
      </c>
      <c r="E5703" s="8">
        <v>94</v>
      </c>
    </row>
    <row r="5704" s="3" customFormat="1" ht="18.75" spans="1:5">
      <c r="A5704" s="8" t="str">
        <f t="shared" si="100"/>
        <v>250026</v>
      </c>
      <c r="B5704" s="8" t="str">
        <f>"2561406014106"</f>
        <v>2561406014106</v>
      </c>
      <c r="C5704" s="8" t="s">
        <v>12</v>
      </c>
      <c r="D5704" s="9">
        <v>0</v>
      </c>
      <c r="E5704" s="8">
        <v>94</v>
      </c>
    </row>
    <row r="5705" s="3" customFormat="1" ht="18.75" spans="1:5">
      <c r="A5705" s="8" t="str">
        <f t="shared" si="100"/>
        <v>250026</v>
      </c>
      <c r="B5705" s="8" t="str">
        <f>"2561406014107"</f>
        <v>2561406014107</v>
      </c>
      <c r="C5705" s="8" t="s">
        <v>12</v>
      </c>
      <c r="D5705" s="9">
        <v>0</v>
      </c>
      <c r="E5705" s="8">
        <v>94</v>
      </c>
    </row>
    <row r="5706" s="3" customFormat="1" ht="18.75" spans="1:5">
      <c r="A5706" s="8" t="str">
        <f t="shared" si="100"/>
        <v>250026</v>
      </c>
      <c r="B5706" s="8" t="str">
        <f>"2561406014108"</f>
        <v>2561406014108</v>
      </c>
      <c r="C5706" s="8" t="s">
        <v>12</v>
      </c>
      <c r="D5706" s="9">
        <v>0</v>
      </c>
      <c r="E5706" s="8">
        <v>94</v>
      </c>
    </row>
    <row r="5707" s="3" customFormat="1" ht="18.75" spans="1:5">
      <c r="A5707" s="8" t="str">
        <f t="shared" si="100"/>
        <v>250026</v>
      </c>
      <c r="B5707" s="8" t="str">
        <f>"2561406014110"</f>
        <v>2561406014110</v>
      </c>
      <c r="C5707" s="8" t="s">
        <v>12</v>
      </c>
      <c r="D5707" s="9">
        <v>0</v>
      </c>
      <c r="E5707" s="8">
        <v>94</v>
      </c>
    </row>
    <row r="5708" s="3" customFormat="1" ht="18.75" spans="1:5">
      <c r="A5708" s="8" t="str">
        <f t="shared" si="100"/>
        <v>250026</v>
      </c>
      <c r="B5708" s="8" t="str">
        <f>"2561406014113"</f>
        <v>2561406014113</v>
      </c>
      <c r="C5708" s="8" t="s">
        <v>12</v>
      </c>
      <c r="D5708" s="9">
        <v>0</v>
      </c>
      <c r="E5708" s="8">
        <v>94</v>
      </c>
    </row>
    <row r="5709" s="3" customFormat="1" ht="18.75" spans="1:5">
      <c r="A5709" s="8" t="str">
        <f t="shared" si="100"/>
        <v>250026</v>
      </c>
      <c r="B5709" s="8" t="str">
        <f>"2561406014116"</f>
        <v>2561406014116</v>
      </c>
      <c r="C5709" s="8" t="s">
        <v>12</v>
      </c>
      <c r="D5709" s="9">
        <v>0</v>
      </c>
      <c r="E5709" s="8">
        <v>94</v>
      </c>
    </row>
    <row r="5710" s="3" customFormat="1" ht="18.75" spans="1:5">
      <c r="A5710" s="8" t="str">
        <f t="shared" si="100"/>
        <v>250026</v>
      </c>
      <c r="B5710" s="8" t="str">
        <f>"2561406014117"</f>
        <v>2561406014117</v>
      </c>
      <c r="C5710" s="8" t="s">
        <v>12</v>
      </c>
      <c r="D5710" s="9">
        <v>0</v>
      </c>
      <c r="E5710" s="8">
        <v>94</v>
      </c>
    </row>
    <row r="5711" s="3" customFormat="1" ht="18.75" spans="1:5">
      <c r="A5711" s="8" t="str">
        <f t="shared" si="100"/>
        <v>250026</v>
      </c>
      <c r="B5711" s="8" t="str">
        <f>"2561406014118"</f>
        <v>2561406014118</v>
      </c>
      <c r="C5711" s="8" t="s">
        <v>12</v>
      </c>
      <c r="D5711" s="9">
        <v>0</v>
      </c>
      <c r="E5711" s="8">
        <v>94</v>
      </c>
    </row>
    <row r="5712" s="3" customFormat="1" ht="18.75" spans="1:5">
      <c r="A5712" s="8" t="str">
        <f t="shared" si="100"/>
        <v>250026</v>
      </c>
      <c r="B5712" s="8" t="str">
        <f>"2561406014119"</f>
        <v>2561406014119</v>
      </c>
      <c r="C5712" s="8" t="s">
        <v>12</v>
      </c>
      <c r="D5712" s="9">
        <v>0</v>
      </c>
      <c r="E5712" s="8">
        <v>94</v>
      </c>
    </row>
    <row r="5713" s="3" customFormat="1" ht="18.75" spans="1:5">
      <c r="A5713" s="8" t="str">
        <f t="shared" si="100"/>
        <v>250026</v>
      </c>
      <c r="B5713" s="8" t="str">
        <f>"2561406014121"</f>
        <v>2561406014121</v>
      </c>
      <c r="C5713" s="8" t="s">
        <v>12</v>
      </c>
      <c r="D5713" s="9">
        <v>0</v>
      </c>
      <c r="E5713" s="8">
        <v>94</v>
      </c>
    </row>
    <row r="5714" s="3" customFormat="1" ht="18.75" spans="1:5">
      <c r="A5714" s="8" t="str">
        <f t="shared" si="100"/>
        <v>250026</v>
      </c>
      <c r="B5714" s="8" t="str">
        <f>"2561406014123"</f>
        <v>2561406014123</v>
      </c>
      <c r="C5714" s="8" t="s">
        <v>12</v>
      </c>
      <c r="D5714" s="9">
        <v>0</v>
      </c>
      <c r="E5714" s="8">
        <v>94</v>
      </c>
    </row>
    <row r="5715" s="3" customFormat="1" ht="18.75" spans="1:5">
      <c r="A5715" s="8" t="str">
        <f t="shared" si="100"/>
        <v>250026</v>
      </c>
      <c r="B5715" s="8" t="str">
        <f>"2561406014124"</f>
        <v>2561406014124</v>
      </c>
      <c r="C5715" s="8" t="s">
        <v>12</v>
      </c>
      <c r="D5715" s="9">
        <v>0</v>
      </c>
      <c r="E5715" s="8">
        <v>94</v>
      </c>
    </row>
    <row r="5716" s="3" customFormat="1" ht="18.75" spans="1:5">
      <c r="A5716" s="8" t="str">
        <f t="shared" si="100"/>
        <v>250026</v>
      </c>
      <c r="B5716" s="8" t="str">
        <f>"2561406014125"</f>
        <v>2561406014125</v>
      </c>
      <c r="C5716" s="8" t="s">
        <v>12</v>
      </c>
      <c r="D5716" s="9">
        <v>0</v>
      </c>
      <c r="E5716" s="8">
        <v>94</v>
      </c>
    </row>
    <row r="5717" s="3" customFormat="1" ht="18.75" spans="1:5">
      <c r="A5717" s="8" t="str">
        <f t="shared" si="100"/>
        <v>250026</v>
      </c>
      <c r="B5717" s="8" t="str">
        <f>"2561406014127"</f>
        <v>2561406014127</v>
      </c>
      <c r="C5717" s="8" t="s">
        <v>12</v>
      </c>
      <c r="D5717" s="9">
        <v>0</v>
      </c>
      <c r="E5717" s="8">
        <v>94</v>
      </c>
    </row>
    <row r="5718" s="3" customFormat="1" ht="18.75" spans="1:5">
      <c r="A5718" s="8" t="str">
        <f t="shared" si="100"/>
        <v>250026</v>
      </c>
      <c r="B5718" s="8" t="str">
        <f>"2561406014130"</f>
        <v>2561406014130</v>
      </c>
      <c r="C5718" s="8" t="s">
        <v>12</v>
      </c>
      <c r="D5718" s="9">
        <v>0</v>
      </c>
      <c r="E5718" s="8">
        <v>94</v>
      </c>
    </row>
    <row r="5719" s="3" customFormat="1" ht="18.75" spans="1:5">
      <c r="A5719" s="8" t="str">
        <f t="shared" si="100"/>
        <v>250026</v>
      </c>
      <c r="B5719" s="8" t="str">
        <f>"2561406014201"</f>
        <v>2561406014201</v>
      </c>
      <c r="C5719" s="8" t="s">
        <v>12</v>
      </c>
      <c r="D5719" s="9">
        <v>0</v>
      </c>
      <c r="E5719" s="8">
        <v>94</v>
      </c>
    </row>
    <row r="5720" s="3" customFormat="1" ht="18.75" spans="1:5">
      <c r="A5720" s="8" t="str">
        <f t="shared" si="100"/>
        <v>250026</v>
      </c>
      <c r="B5720" s="8" t="str">
        <f>"2561406014202"</f>
        <v>2561406014202</v>
      </c>
      <c r="C5720" s="8" t="s">
        <v>12</v>
      </c>
      <c r="D5720" s="9">
        <v>0</v>
      </c>
      <c r="E5720" s="8">
        <v>94</v>
      </c>
    </row>
    <row r="5721" s="3" customFormat="1" ht="18.75" spans="1:5">
      <c r="A5721" s="8" t="str">
        <f t="shared" si="100"/>
        <v>250026</v>
      </c>
      <c r="B5721" s="8" t="str">
        <f>"2561406014203"</f>
        <v>2561406014203</v>
      </c>
      <c r="C5721" s="8" t="s">
        <v>12</v>
      </c>
      <c r="D5721" s="9">
        <v>0</v>
      </c>
      <c r="E5721" s="8">
        <v>94</v>
      </c>
    </row>
    <row r="5722" s="3" customFormat="1" ht="18.75" spans="1:5">
      <c r="A5722" s="8" t="str">
        <f t="shared" si="100"/>
        <v>250026</v>
      </c>
      <c r="B5722" s="8" t="str">
        <f>"2561406014206"</f>
        <v>2561406014206</v>
      </c>
      <c r="C5722" s="8" t="s">
        <v>12</v>
      </c>
      <c r="D5722" s="9">
        <v>0</v>
      </c>
      <c r="E5722" s="8">
        <v>94</v>
      </c>
    </row>
    <row r="5723" s="3" customFormat="1" ht="18.75" spans="1:5">
      <c r="A5723" s="8" t="str">
        <f t="shared" si="100"/>
        <v>250026</v>
      </c>
      <c r="B5723" s="8" t="str">
        <f>"2561406014207"</f>
        <v>2561406014207</v>
      </c>
      <c r="C5723" s="8" t="s">
        <v>12</v>
      </c>
      <c r="D5723" s="9">
        <v>0</v>
      </c>
      <c r="E5723" s="8">
        <v>94</v>
      </c>
    </row>
    <row r="5724" s="3" customFormat="1" ht="18.75" spans="1:5">
      <c r="A5724" s="8" t="str">
        <f t="shared" si="100"/>
        <v>250026</v>
      </c>
      <c r="B5724" s="8" t="str">
        <f>"2561406014208"</f>
        <v>2561406014208</v>
      </c>
      <c r="C5724" s="8" t="s">
        <v>12</v>
      </c>
      <c r="D5724" s="9">
        <v>0</v>
      </c>
      <c r="E5724" s="8">
        <v>94</v>
      </c>
    </row>
    <row r="5725" s="3" customFormat="1" ht="18.75" spans="1:5">
      <c r="A5725" s="8" t="str">
        <f t="shared" si="100"/>
        <v>250026</v>
      </c>
      <c r="B5725" s="8" t="str">
        <f>"2561406014210"</f>
        <v>2561406014210</v>
      </c>
      <c r="C5725" s="8" t="s">
        <v>12</v>
      </c>
      <c r="D5725" s="9">
        <v>0</v>
      </c>
      <c r="E5725" s="8">
        <v>94</v>
      </c>
    </row>
    <row r="5726" s="3" customFormat="1" ht="18.75" spans="1:5">
      <c r="A5726" s="8" t="str">
        <f t="shared" si="100"/>
        <v>250026</v>
      </c>
      <c r="B5726" s="8" t="str">
        <f>"2561406014211"</f>
        <v>2561406014211</v>
      </c>
      <c r="C5726" s="8" t="s">
        <v>12</v>
      </c>
      <c r="D5726" s="9">
        <v>0</v>
      </c>
      <c r="E5726" s="8">
        <v>94</v>
      </c>
    </row>
    <row r="5727" s="3" customFormat="1" ht="18.75" spans="1:5">
      <c r="A5727" s="8" t="str">
        <f t="shared" si="100"/>
        <v>250026</v>
      </c>
      <c r="B5727" s="8" t="str">
        <f>"2561406014213"</f>
        <v>2561406014213</v>
      </c>
      <c r="C5727" s="8" t="s">
        <v>12</v>
      </c>
      <c r="D5727" s="9">
        <v>0</v>
      </c>
      <c r="E5727" s="8">
        <v>94</v>
      </c>
    </row>
    <row r="5728" s="3" customFormat="1" ht="18.75" spans="1:5">
      <c r="A5728" s="8" t="str">
        <f t="shared" si="100"/>
        <v>250026</v>
      </c>
      <c r="B5728" s="8" t="str">
        <f>"2561406014217"</f>
        <v>2561406014217</v>
      </c>
      <c r="C5728" s="8" t="s">
        <v>12</v>
      </c>
      <c r="D5728" s="9">
        <v>0</v>
      </c>
      <c r="E5728" s="8">
        <v>94</v>
      </c>
    </row>
    <row r="5729" s="3" customFormat="1" ht="18.75" spans="1:5">
      <c r="A5729" s="8" t="str">
        <f t="shared" si="100"/>
        <v>250026</v>
      </c>
      <c r="B5729" s="8" t="str">
        <f>"2561406014219"</f>
        <v>2561406014219</v>
      </c>
      <c r="C5729" s="8" t="s">
        <v>12</v>
      </c>
      <c r="D5729" s="9">
        <v>0</v>
      </c>
      <c r="E5729" s="8">
        <v>94</v>
      </c>
    </row>
    <row r="5730" s="3" customFormat="1" ht="18.75" spans="1:5">
      <c r="A5730" s="8" t="str">
        <f t="shared" si="100"/>
        <v>250026</v>
      </c>
      <c r="B5730" s="8" t="str">
        <f>"2561406014221"</f>
        <v>2561406014221</v>
      </c>
      <c r="C5730" s="8" t="s">
        <v>12</v>
      </c>
      <c r="D5730" s="9">
        <v>0</v>
      </c>
      <c r="E5730" s="8">
        <v>94</v>
      </c>
    </row>
    <row r="5731" s="3" customFormat="1" ht="18.75" spans="1:5">
      <c r="A5731" s="8" t="str">
        <f t="shared" si="100"/>
        <v>250026</v>
      </c>
      <c r="B5731" s="8" t="str">
        <f>"2561406014222"</f>
        <v>2561406014222</v>
      </c>
      <c r="C5731" s="8" t="s">
        <v>12</v>
      </c>
      <c r="D5731" s="9">
        <v>0</v>
      </c>
      <c r="E5731" s="8">
        <v>94</v>
      </c>
    </row>
    <row r="5732" s="3" customFormat="1" ht="18.75" spans="1:5">
      <c r="A5732" s="8" t="str">
        <f t="shared" si="100"/>
        <v>250026</v>
      </c>
      <c r="B5732" s="8" t="str">
        <f>"2561406014224"</f>
        <v>2561406014224</v>
      </c>
      <c r="C5732" s="8" t="s">
        <v>12</v>
      </c>
      <c r="D5732" s="9">
        <v>0</v>
      </c>
      <c r="E5732" s="8">
        <v>94</v>
      </c>
    </row>
    <row r="5733" s="3" customFormat="1" ht="18.75" spans="1:5">
      <c r="A5733" s="8" t="str">
        <f t="shared" si="100"/>
        <v>250026</v>
      </c>
      <c r="B5733" s="8" t="str">
        <f>"2561406014226"</f>
        <v>2561406014226</v>
      </c>
      <c r="C5733" s="8" t="s">
        <v>12</v>
      </c>
      <c r="D5733" s="9">
        <v>0</v>
      </c>
      <c r="E5733" s="8">
        <v>94</v>
      </c>
    </row>
    <row r="5734" s="3" customFormat="1" ht="18.75" spans="1:5">
      <c r="A5734" s="8" t="str">
        <f t="shared" si="100"/>
        <v>250026</v>
      </c>
      <c r="B5734" s="8" t="str">
        <f>"2561406014227"</f>
        <v>2561406014227</v>
      </c>
      <c r="C5734" s="8" t="s">
        <v>12</v>
      </c>
      <c r="D5734" s="9">
        <v>0</v>
      </c>
      <c r="E5734" s="8">
        <v>94</v>
      </c>
    </row>
    <row r="5735" s="3" customFormat="1" ht="18.75" spans="1:5">
      <c r="A5735" s="8" t="str">
        <f t="shared" si="100"/>
        <v>250026</v>
      </c>
      <c r="B5735" s="8" t="str">
        <f>"2561406014229"</f>
        <v>2561406014229</v>
      </c>
      <c r="C5735" s="8" t="s">
        <v>12</v>
      </c>
      <c r="D5735" s="9">
        <v>0</v>
      </c>
      <c r="E5735" s="8">
        <v>94</v>
      </c>
    </row>
    <row r="5736" s="3" customFormat="1" ht="18.75" spans="1:5">
      <c r="A5736" s="8" t="str">
        <f t="shared" si="100"/>
        <v>250026</v>
      </c>
      <c r="B5736" s="8" t="str">
        <f>"2561406014230"</f>
        <v>2561406014230</v>
      </c>
      <c r="C5736" s="8" t="s">
        <v>12</v>
      </c>
      <c r="D5736" s="9">
        <v>0</v>
      </c>
      <c r="E5736" s="8">
        <v>94</v>
      </c>
    </row>
    <row r="5737" s="3" customFormat="1" ht="18.75" spans="1:5">
      <c r="A5737" s="8" t="str">
        <f t="shared" si="100"/>
        <v>250026</v>
      </c>
      <c r="B5737" s="8" t="str">
        <f>"2561406014301"</f>
        <v>2561406014301</v>
      </c>
      <c r="C5737" s="8" t="s">
        <v>12</v>
      </c>
      <c r="D5737" s="9">
        <v>0</v>
      </c>
      <c r="E5737" s="8">
        <v>94</v>
      </c>
    </row>
    <row r="5738" s="3" customFormat="1" ht="18.75" spans="1:5">
      <c r="A5738" s="8" t="str">
        <f t="shared" si="100"/>
        <v>250026</v>
      </c>
      <c r="B5738" s="8" t="str">
        <f>"2561406014306"</f>
        <v>2561406014306</v>
      </c>
      <c r="C5738" s="8" t="s">
        <v>12</v>
      </c>
      <c r="D5738" s="9">
        <v>0</v>
      </c>
      <c r="E5738" s="8">
        <v>94</v>
      </c>
    </row>
    <row r="5739" s="3" customFormat="1" ht="18.75" spans="1:5">
      <c r="A5739" s="8" t="str">
        <f t="shared" si="100"/>
        <v>250026</v>
      </c>
      <c r="B5739" s="8" t="str">
        <f>"2561406014307"</f>
        <v>2561406014307</v>
      </c>
      <c r="C5739" s="8" t="s">
        <v>12</v>
      </c>
      <c r="D5739" s="9">
        <v>0</v>
      </c>
      <c r="E5739" s="8">
        <v>94</v>
      </c>
    </row>
    <row r="5740" s="3" customFormat="1" ht="18.75" spans="1:5">
      <c r="A5740" s="8" t="str">
        <f t="shared" si="100"/>
        <v>250026</v>
      </c>
      <c r="B5740" s="8" t="str">
        <f>"2561406014308"</f>
        <v>2561406014308</v>
      </c>
      <c r="C5740" s="8" t="s">
        <v>12</v>
      </c>
      <c r="D5740" s="9">
        <v>0</v>
      </c>
      <c r="E5740" s="8">
        <v>94</v>
      </c>
    </row>
    <row r="5741" s="3" customFormat="1" ht="18.75" spans="1:5">
      <c r="A5741" s="8" t="str">
        <f t="shared" si="100"/>
        <v>250026</v>
      </c>
      <c r="B5741" s="8" t="str">
        <f>"2561406014310"</f>
        <v>2561406014310</v>
      </c>
      <c r="C5741" s="8" t="s">
        <v>12</v>
      </c>
      <c r="D5741" s="9">
        <v>0</v>
      </c>
      <c r="E5741" s="8">
        <v>94</v>
      </c>
    </row>
    <row r="5742" s="3" customFormat="1" ht="18.75" spans="1:5">
      <c r="A5742" s="8" t="str">
        <f t="shared" si="100"/>
        <v>250026</v>
      </c>
      <c r="B5742" s="8" t="str">
        <f>"2561406014311"</f>
        <v>2561406014311</v>
      </c>
      <c r="C5742" s="8" t="s">
        <v>12</v>
      </c>
      <c r="D5742" s="9">
        <v>0</v>
      </c>
      <c r="E5742" s="8">
        <v>94</v>
      </c>
    </row>
    <row r="5743" s="3" customFormat="1" ht="18.75" spans="1:5">
      <c r="A5743" s="8" t="str">
        <f t="shared" si="100"/>
        <v>250026</v>
      </c>
      <c r="B5743" s="8" t="str">
        <f>"2561406014312"</f>
        <v>2561406014312</v>
      </c>
      <c r="C5743" s="8" t="s">
        <v>12</v>
      </c>
      <c r="D5743" s="9">
        <v>0</v>
      </c>
      <c r="E5743" s="8">
        <v>94</v>
      </c>
    </row>
    <row r="5744" s="3" customFormat="1" ht="18.75" spans="1:5">
      <c r="A5744" s="8" t="str">
        <f t="shared" si="100"/>
        <v>250026</v>
      </c>
      <c r="B5744" s="8" t="str">
        <f>"2561406014314"</f>
        <v>2561406014314</v>
      </c>
      <c r="C5744" s="8" t="s">
        <v>12</v>
      </c>
      <c r="D5744" s="9">
        <v>0</v>
      </c>
      <c r="E5744" s="8">
        <v>94</v>
      </c>
    </row>
    <row r="5745" s="3" customFormat="1" ht="18.75" spans="1:5">
      <c r="A5745" s="8" t="str">
        <f t="shared" si="100"/>
        <v>250026</v>
      </c>
      <c r="B5745" s="8" t="str">
        <f>"2561406014315"</f>
        <v>2561406014315</v>
      </c>
      <c r="C5745" s="8" t="s">
        <v>12</v>
      </c>
      <c r="D5745" s="9">
        <v>0</v>
      </c>
      <c r="E5745" s="8">
        <v>94</v>
      </c>
    </row>
    <row r="5746" s="3" customFormat="1" ht="18.75" spans="1:5">
      <c r="A5746" s="8" t="str">
        <f t="shared" si="100"/>
        <v>250026</v>
      </c>
      <c r="B5746" s="8" t="str">
        <f>"2561406014316"</f>
        <v>2561406014316</v>
      </c>
      <c r="C5746" s="8" t="s">
        <v>12</v>
      </c>
      <c r="D5746" s="9">
        <v>0</v>
      </c>
      <c r="E5746" s="8">
        <v>94</v>
      </c>
    </row>
    <row r="5747" s="3" customFormat="1" ht="18.75" spans="1:5">
      <c r="A5747" s="8" t="str">
        <f t="shared" si="100"/>
        <v>250026</v>
      </c>
      <c r="B5747" s="8" t="str">
        <f>"2561406014321"</f>
        <v>2561406014321</v>
      </c>
      <c r="C5747" s="8" t="s">
        <v>12</v>
      </c>
      <c r="D5747" s="9">
        <v>0</v>
      </c>
      <c r="E5747" s="8">
        <v>94</v>
      </c>
    </row>
    <row r="5748" s="3" customFormat="1" ht="18.75" spans="1:5">
      <c r="A5748" s="8" t="str">
        <f t="shared" si="100"/>
        <v>250026</v>
      </c>
      <c r="B5748" s="8" t="str">
        <f>"2561406014324"</f>
        <v>2561406014324</v>
      </c>
      <c r="C5748" s="8" t="s">
        <v>12</v>
      </c>
      <c r="D5748" s="9">
        <v>0</v>
      </c>
      <c r="E5748" s="8">
        <v>94</v>
      </c>
    </row>
    <row r="5749" s="3" customFormat="1" ht="18.75" spans="1:5">
      <c r="A5749" s="8" t="str">
        <f t="shared" si="100"/>
        <v>250026</v>
      </c>
      <c r="B5749" s="8" t="str">
        <f>"2561406014326"</f>
        <v>2561406014326</v>
      </c>
      <c r="C5749" s="8" t="s">
        <v>12</v>
      </c>
      <c r="D5749" s="9">
        <v>0</v>
      </c>
      <c r="E5749" s="8">
        <v>94</v>
      </c>
    </row>
    <row r="5750" s="3" customFormat="1" ht="18.75" spans="1:5">
      <c r="A5750" s="8" t="str">
        <f t="shared" si="100"/>
        <v>250026</v>
      </c>
      <c r="B5750" s="8" t="str">
        <f>"2561406014327"</f>
        <v>2561406014327</v>
      </c>
      <c r="C5750" s="8" t="s">
        <v>12</v>
      </c>
      <c r="D5750" s="9">
        <v>0</v>
      </c>
      <c r="E5750" s="8">
        <v>94</v>
      </c>
    </row>
    <row r="5751" s="3" customFormat="1" ht="18.75" spans="1:5">
      <c r="A5751" s="8" t="str">
        <f t="shared" si="100"/>
        <v>250026</v>
      </c>
      <c r="B5751" s="8" t="str">
        <f>"2561406014329"</f>
        <v>2561406014329</v>
      </c>
      <c r="C5751" s="8" t="s">
        <v>12</v>
      </c>
      <c r="D5751" s="9">
        <v>0</v>
      </c>
      <c r="E5751" s="8">
        <v>94</v>
      </c>
    </row>
    <row r="5752" s="3" customFormat="1" ht="18.75" spans="1:5">
      <c r="A5752" s="8" t="str">
        <f t="shared" si="100"/>
        <v>250026</v>
      </c>
      <c r="B5752" s="8" t="str">
        <f>"2561406014330"</f>
        <v>2561406014330</v>
      </c>
      <c r="C5752" s="8" t="s">
        <v>12</v>
      </c>
      <c r="D5752" s="9">
        <v>0</v>
      </c>
      <c r="E5752" s="8">
        <v>94</v>
      </c>
    </row>
    <row r="5753" s="3" customFormat="1" ht="18.75" spans="1:5">
      <c r="A5753" s="8" t="str">
        <f t="shared" si="100"/>
        <v>250026</v>
      </c>
      <c r="B5753" s="8" t="str">
        <f>"2561406014401"</f>
        <v>2561406014401</v>
      </c>
      <c r="C5753" s="8" t="s">
        <v>12</v>
      </c>
      <c r="D5753" s="9">
        <v>0</v>
      </c>
      <c r="E5753" s="8">
        <v>94</v>
      </c>
    </row>
    <row r="5754" s="3" customFormat="1" ht="18.75" spans="1:5">
      <c r="A5754" s="8" t="str">
        <f t="shared" ref="A5754:A5806" si="101">"250026"</f>
        <v>250026</v>
      </c>
      <c r="B5754" s="8" t="str">
        <f>"2561406014404"</f>
        <v>2561406014404</v>
      </c>
      <c r="C5754" s="8" t="s">
        <v>12</v>
      </c>
      <c r="D5754" s="9">
        <v>0</v>
      </c>
      <c r="E5754" s="8">
        <v>94</v>
      </c>
    </row>
    <row r="5755" s="3" customFormat="1" ht="18.75" spans="1:5">
      <c r="A5755" s="8" t="str">
        <f t="shared" si="101"/>
        <v>250026</v>
      </c>
      <c r="B5755" s="8" t="str">
        <f>"2561406014406"</f>
        <v>2561406014406</v>
      </c>
      <c r="C5755" s="8" t="s">
        <v>12</v>
      </c>
      <c r="D5755" s="9">
        <v>0</v>
      </c>
      <c r="E5755" s="8">
        <v>94</v>
      </c>
    </row>
    <row r="5756" s="3" customFormat="1" ht="18.75" spans="1:5">
      <c r="A5756" s="8" t="str">
        <f t="shared" si="101"/>
        <v>250026</v>
      </c>
      <c r="B5756" s="8" t="str">
        <f>"2561406014408"</f>
        <v>2561406014408</v>
      </c>
      <c r="C5756" s="8" t="s">
        <v>12</v>
      </c>
      <c r="D5756" s="9">
        <v>0</v>
      </c>
      <c r="E5756" s="8">
        <v>94</v>
      </c>
    </row>
    <row r="5757" s="3" customFormat="1" ht="18.75" spans="1:5">
      <c r="A5757" s="8" t="str">
        <f t="shared" si="101"/>
        <v>250026</v>
      </c>
      <c r="B5757" s="8" t="str">
        <f>"2561406014409"</f>
        <v>2561406014409</v>
      </c>
      <c r="C5757" s="8" t="s">
        <v>12</v>
      </c>
      <c r="D5757" s="9">
        <v>0</v>
      </c>
      <c r="E5757" s="8">
        <v>94</v>
      </c>
    </row>
    <row r="5758" s="3" customFormat="1" ht="18.75" spans="1:5">
      <c r="A5758" s="8" t="str">
        <f t="shared" si="101"/>
        <v>250026</v>
      </c>
      <c r="B5758" s="8" t="str">
        <f>"2561406014410"</f>
        <v>2561406014410</v>
      </c>
      <c r="C5758" s="8" t="s">
        <v>12</v>
      </c>
      <c r="D5758" s="9">
        <v>0</v>
      </c>
      <c r="E5758" s="8">
        <v>94</v>
      </c>
    </row>
    <row r="5759" s="3" customFormat="1" ht="18.75" spans="1:5">
      <c r="A5759" s="8" t="str">
        <f t="shared" si="101"/>
        <v>250026</v>
      </c>
      <c r="B5759" s="8" t="str">
        <f>"2561406014412"</f>
        <v>2561406014412</v>
      </c>
      <c r="C5759" s="8" t="s">
        <v>12</v>
      </c>
      <c r="D5759" s="9">
        <v>0</v>
      </c>
      <c r="E5759" s="8">
        <v>94</v>
      </c>
    </row>
    <row r="5760" s="3" customFormat="1" ht="18.75" spans="1:5">
      <c r="A5760" s="8" t="str">
        <f t="shared" si="101"/>
        <v>250026</v>
      </c>
      <c r="B5760" s="8" t="str">
        <f>"2561406014416"</f>
        <v>2561406014416</v>
      </c>
      <c r="C5760" s="8" t="s">
        <v>12</v>
      </c>
      <c r="D5760" s="9">
        <v>0</v>
      </c>
      <c r="E5760" s="8">
        <v>94</v>
      </c>
    </row>
    <row r="5761" s="3" customFormat="1" ht="18.75" spans="1:5">
      <c r="A5761" s="8" t="str">
        <f t="shared" si="101"/>
        <v>250026</v>
      </c>
      <c r="B5761" s="8" t="str">
        <f>"2561406014417"</f>
        <v>2561406014417</v>
      </c>
      <c r="C5761" s="8" t="s">
        <v>12</v>
      </c>
      <c r="D5761" s="9">
        <v>0</v>
      </c>
      <c r="E5761" s="8">
        <v>94</v>
      </c>
    </row>
    <row r="5762" s="3" customFormat="1" ht="18.75" spans="1:5">
      <c r="A5762" s="8" t="str">
        <f t="shared" si="101"/>
        <v>250026</v>
      </c>
      <c r="B5762" s="8" t="str">
        <f>"2561406014419"</f>
        <v>2561406014419</v>
      </c>
      <c r="C5762" s="8" t="s">
        <v>12</v>
      </c>
      <c r="D5762" s="9">
        <v>0</v>
      </c>
      <c r="E5762" s="8">
        <v>94</v>
      </c>
    </row>
    <row r="5763" s="3" customFormat="1" ht="18.75" spans="1:5">
      <c r="A5763" s="8" t="str">
        <f t="shared" si="101"/>
        <v>250026</v>
      </c>
      <c r="B5763" s="8" t="str">
        <f>"2561406014420"</f>
        <v>2561406014420</v>
      </c>
      <c r="C5763" s="8" t="s">
        <v>12</v>
      </c>
      <c r="D5763" s="9">
        <v>0</v>
      </c>
      <c r="E5763" s="8">
        <v>94</v>
      </c>
    </row>
    <row r="5764" s="3" customFormat="1" ht="18.75" spans="1:5">
      <c r="A5764" s="8" t="str">
        <f t="shared" si="101"/>
        <v>250026</v>
      </c>
      <c r="B5764" s="8" t="str">
        <f>"2561406014421"</f>
        <v>2561406014421</v>
      </c>
      <c r="C5764" s="8" t="s">
        <v>12</v>
      </c>
      <c r="D5764" s="9">
        <v>0</v>
      </c>
      <c r="E5764" s="8">
        <v>94</v>
      </c>
    </row>
    <row r="5765" s="3" customFormat="1" ht="18.75" spans="1:5">
      <c r="A5765" s="8" t="str">
        <f t="shared" si="101"/>
        <v>250026</v>
      </c>
      <c r="B5765" s="8" t="str">
        <f>"2561406014422"</f>
        <v>2561406014422</v>
      </c>
      <c r="C5765" s="8" t="s">
        <v>12</v>
      </c>
      <c r="D5765" s="9">
        <v>0</v>
      </c>
      <c r="E5765" s="8">
        <v>94</v>
      </c>
    </row>
    <row r="5766" s="3" customFormat="1" ht="18.75" spans="1:5">
      <c r="A5766" s="8" t="str">
        <f t="shared" si="101"/>
        <v>250026</v>
      </c>
      <c r="B5766" s="8" t="str">
        <f>"2561406014423"</f>
        <v>2561406014423</v>
      </c>
      <c r="C5766" s="8" t="s">
        <v>12</v>
      </c>
      <c r="D5766" s="9">
        <v>0</v>
      </c>
      <c r="E5766" s="8">
        <v>94</v>
      </c>
    </row>
    <row r="5767" s="3" customFormat="1" ht="18.75" spans="1:5">
      <c r="A5767" s="8" t="str">
        <f t="shared" si="101"/>
        <v>250026</v>
      </c>
      <c r="B5767" s="8" t="str">
        <f>"2561406014428"</f>
        <v>2561406014428</v>
      </c>
      <c r="C5767" s="8" t="s">
        <v>12</v>
      </c>
      <c r="D5767" s="9">
        <v>0</v>
      </c>
      <c r="E5767" s="8">
        <v>94</v>
      </c>
    </row>
    <row r="5768" s="3" customFormat="1" ht="18.75" spans="1:5">
      <c r="A5768" s="8" t="str">
        <f t="shared" si="101"/>
        <v>250026</v>
      </c>
      <c r="B5768" s="8" t="str">
        <f>"2561406014429"</f>
        <v>2561406014429</v>
      </c>
      <c r="C5768" s="8" t="s">
        <v>12</v>
      </c>
      <c r="D5768" s="9">
        <v>0</v>
      </c>
      <c r="E5768" s="8">
        <v>94</v>
      </c>
    </row>
    <row r="5769" s="3" customFormat="1" ht="18.75" spans="1:5">
      <c r="A5769" s="8" t="str">
        <f t="shared" si="101"/>
        <v>250026</v>
      </c>
      <c r="B5769" s="8" t="str">
        <f>"2561406014430"</f>
        <v>2561406014430</v>
      </c>
      <c r="C5769" s="8" t="s">
        <v>12</v>
      </c>
      <c r="D5769" s="9">
        <v>0</v>
      </c>
      <c r="E5769" s="8">
        <v>94</v>
      </c>
    </row>
    <row r="5770" s="3" customFormat="1" ht="18.75" spans="1:5">
      <c r="A5770" s="8" t="str">
        <f t="shared" si="101"/>
        <v>250026</v>
      </c>
      <c r="B5770" s="8" t="str">
        <f>"2561406014501"</f>
        <v>2561406014501</v>
      </c>
      <c r="C5770" s="8" t="s">
        <v>12</v>
      </c>
      <c r="D5770" s="9">
        <v>0</v>
      </c>
      <c r="E5770" s="8">
        <v>94</v>
      </c>
    </row>
    <row r="5771" s="3" customFormat="1" ht="18.75" spans="1:5">
      <c r="A5771" s="8" t="str">
        <f t="shared" si="101"/>
        <v>250026</v>
      </c>
      <c r="B5771" s="8" t="str">
        <f>"2561406014503"</f>
        <v>2561406014503</v>
      </c>
      <c r="C5771" s="8" t="s">
        <v>12</v>
      </c>
      <c r="D5771" s="9">
        <v>0</v>
      </c>
      <c r="E5771" s="8">
        <v>94</v>
      </c>
    </row>
    <row r="5772" s="3" customFormat="1" ht="18.75" spans="1:5">
      <c r="A5772" s="8" t="str">
        <f t="shared" si="101"/>
        <v>250026</v>
      </c>
      <c r="B5772" s="8" t="str">
        <f>"2561406014504"</f>
        <v>2561406014504</v>
      </c>
      <c r="C5772" s="8" t="s">
        <v>12</v>
      </c>
      <c r="D5772" s="9">
        <v>0</v>
      </c>
      <c r="E5772" s="8">
        <v>94</v>
      </c>
    </row>
    <row r="5773" s="3" customFormat="1" ht="18.75" spans="1:5">
      <c r="A5773" s="8" t="str">
        <f t="shared" si="101"/>
        <v>250026</v>
      </c>
      <c r="B5773" s="8" t="str">
        <f>"2561406014505"</f>
        <v>2561406014505</v>
      </c>
      <c r="C5773" s="8" t="s">
        <v>12</v>
      </c>
      <c r="D5773" s="9">
        <v>0</v>
      </c>
      <c r="E5773" s="8">
        <v>94</v>
      </c>
    </row>
    <row r="5774" s="3" customFormat="1" ht="18.75" spans="1:5">
      <c r="A5774" s="8" t="str">
        <f t="shared" si="101"/>
        <v>250026</v>
      </c>
      <c r="B5774" s="8" t="str">
        <f>"2561406014506"</f>
        <v>2561406014506</v>
      </c>
      <c r="C5774" s="8" t="s">
        <v>12</v>
      </c>
      <c r="D5774" s="9">
        <v>0</v>
      </c>
      <c r="E5774" s="8">
        <v>94</v>
      </c>
    </row>
    <row r="5775" s="3" customFormat="1" ht="18.75" spans="1:5">
      <c r="A5775" s="8" t="str">
        <f t="shared" si="101"/>
        <v>250026</v>
      </c>
      <c r="B5775" s="8" t="str">
        <f>"2561406014507"</f>
        <v>2561406014507</v>
      </c>
      <c r="C5775" s="8" t="s">
        <v>12</v>
      </c>
      <c r="D5775" s="9">
        <v>0</v>
      </c>
      <c r="E5775" s="8">
        <v>94</v>
      </c>
    </row>
    <row r="5776" s="3" customFormat="1" ht="18.75" spans="1:5">
      <c r="A5776" s="8" t="str">
        <f t="shared" si="101"/>
        <v>250026</v>
      </c>
      <c r="B5776" s="8" t="str">
        <f>"2561406014508"</f>
        <v>2561406014508</v>
      </c>
      <c r="C5776" s="8" t="s">
        <v>12</v>
      </c>
      <c r="D5776" s="9">
        <v>0</v>
      </c>
      <c r="E5776" s="8">
        <v>94</v>
      </c>
    </row>
    <row r="5777" s="3" customFormat="1" ht="18.75" spans="1:5">
      <c r="A5777" s="8" t="str">
        <f t="shared" si="101"/>
        <v>250026</v>
      </c>
      <c r="B5777" s="8" t="str">
        <f>"2561406014509"</f>
        <v>2561406014509</v>
      </c>
      <c r="C5777" s="8" t="s">
        <v>12</v>
      </c>
      <c r="D5777" s="9">
        <v>0</v>
      </c>
      <c r="E5777" s="8">
        <v>94</v>
      </c>
    </row>
    <row r="5778" s="3" customFormat="1" ht="18.75" spans="1:5">
      <c r="A5778" s="8" t="str">
        <f t="shared" si="101"/>
        <v>250026</v>
      </c>
      <c r="B5778" s="8" t="str">
        <f>"2561406014510"</f>
        <v>2561406014510</v>
      </c>
      <c r="C5778" s="8" t="s">
        <v>12</v>
      </c>
      <c r="D5778" s="9">
        <v>0</v>
      </c>
      <c r="E5778" s="8">
        <v>94</v>
      </c>
    </row>
    <row r="5779" s="3" customFormat="1" ht="18.75" spans="1:5">
      <c r="A5779" s="8" t="str">
        <f t="shared" si="101"/>
        <v>250026</v>
      </c>
      <c r="B5779" s="8" t="str">
        <f>"2561406014511"</f>
        <v>2561406014511</v>
      </c>
      <c r="C5779" s="8" t="s">
        <v>12</v>
      </c>
      <c r="D5779" s="9">
        <v>0</v>
      </c>
      <c r="E5779" s="8">
        <v>94</v>
      </c>
    </row>
    <row r="5780" s="3" customFormat="1" ht="18.75" spans="1:5">
      <c r="A5780" s="8" t="str">
        <f t="shared" si="101"/>
        <v>250026</v>
      </c>
      <c r="B5780" s="8" t="str">
        <f>"2561406014512"</f>
        <v>2561406014512</v>
      </c>
      <c r="C5780" s="8" t="s">
        <v>12</v>
      </c>
      <c r="D5780" s="9">
        <v>0</v>
      </c>
      <c r="E5780" s="8">
        <v>94</v>
      </c>
    </row>
    <row r="5781" s="3" customFormat="1" ht="18.75" spans="1:5">
      <c r="A5781" s="8" t="str">
        <f t="shared" si="101"/>
        <v>250026</v>
      </c>
      <c r="B5781" s="8" t="str">
        <f>"2561406014513"</f>
        <v>2561406014513</v>
      </c>
      <c r="C5781" s="8" t="s">
        <v>12</v>
      </c>
      <c r="D5781" s="9">
        <v>0</v>
      </c>
      <c r="E5781" s="8">
        <v>94</v>
      </c>
    </row>
    <row r="5782" s="3" customFormat="1" ht="18.75" spans="1:5">
      <c r="A5782" s="8" t="str">
        <f t="shared" si="101"/>
        <v>250026</v>
      </c>
      <c r="B5782" s="8" t="str">
        <f>"2561406014514"</f>
        <v>2561406014514</v>
      </c>
      <c r="C5782" s="8" t="s">
        <v>12</v>
      </c>
      <c r="D5782" s="9">
        <v>0</v>
      </c>
      <c r="E5782" s="8">
        <v>94</v>
      </c>
    </row>
    <row r="5783" s="3" customFormat="1" ht="18.75" spans="1:5">
      <c r="A5783" s="8" t="str">
        <f t="shared" si="101"/>
        <v>250026</v>
      </c>
      <c r="B5783" s="8" t="str">
        <f>"2561406014515"</f>
        <v>2561406014515</v>
      </c>
      <c r="C5783" s="8" t="s">
        <v>12</v>
      </c>
      <c r="D5783" s="9">
        <v>0</v>
      </c>
      <c r="E5783" s="8">
        <v>94</v>
      </c>
    </row>
    <row r="5784" s="3" customFormat="1" ht="18.75" spans="1:5">
      <c r="A5784" s="8" t="str">
        <f t="shared" si="101"/>
        <v>250026</v>
      </c>
      <c r="B5784" s="8" t="str">
        <f>"2561406014517"</f>
        <v>2561406014517</v>
      </c>
      <c r="C5784" s="8" t="s">
        <v>12</v>
      </c>
      <c r="D5784" s="9">
        <v>0</v>
      </c>
      <c r="E5784" s="8">
        <v>94</v>
      </c>
    </row>
    <row r="5785" s="3" customFormat="1" ht="18.75" spans="1:5">
      <c r="A5785" s="8" t="str">
        <f t="shared" si="101"/>
        <v>250026</v>
      </c>
      <c r="B5785" s="8" t="str">
        <f>"2561406014518"</f>
        <v>2561406014518</v>
      </c>
      <c r="C5785" s="8" t="s">
        <v>12</v>
      </c>
      <c r="D5785" s="9">
        <v>0</v>
      </c>
      <c r="E5785" s="8">
        <v>94</v>
      </c>
    </row>
    <row r="5786" s="3" customFormat="1" ht="18.75" spans="1:5">
      <c r="A5786" s="8" t="str">
        <f t="shared" si="101"/>
        <v>250026</v>
      </c>
      <c r="B5786" s="8" t="str">
        <f>"2561406014519"</f>
        <v>2561406014519</v>
      </c>
      <c r="C5786" s="8" t="s">
        <v>12</v>
      </c>
      <c r="D5786" s="9">
        <v>0</v>
      </c>
      <c r="E5786" s="8">
        <v>94</v>
      </c>
    </row>
    <row r="5787" s="3" customFormat="1" ht="18.75" spans="1:5">
      <c r="A5787" s="8" t="str">
        <f t="shared" si="101"/>
        <v>250026</v>
      </c>
      <c r="B5787" s="8" t="str">
        <f>"2561406014520"</f>
        <v>2561406014520</v>
      </c>
      <c r="C5787" s="8" t="s">
        <v>12</v>
      </c>
      <c r="D5787" s="9">
        <v>0</v>
      </c>
      <c r="E5787" s="8">
        <v>94</v>
      </c>
    </row>
    <row r="5788" s="3" customFormat="1" ht="18.75" spans="1:5">
      <c r="A5788" s="8" t="str">
        <f t="shared" si="101"/>
        <v>250026</v>
      </c>
      <c r="B5788" s="8" t="str">
        <f>"2561406014521"</f>
        <v>2561406014521</v>
      </c>
      <c r="C5788" s="8" t="s">
        <v>12</v>
      </c>
      <c r="D5788" s="9">
        <v>0</v>
      </c>
      <c r="E5788" s="8">
        <v>94</v>
      </c>
    </row>
    <row r="5789" s="3" customFormat="1" ht="18.75" spans="1:5">
      <c r="A5789" s="8" t="str">
        <f t="shared" si="101"/>
        <v>250026</v>
      </c>
      <c r="B5789" s="8" t="str">
        <f>"2561406014522"</f>
        <v>2561406014522</v>
      </c>
      <c r="C5789" s="8" t="s">
        <v>12</v>
      </c>
      <c r="D5789" s="9">
        <v>0</v>
      </c>
      <c r="E5789" s="8">
        <v>94</v>
      </c>
    </row>
    <row r="5790" s="3" customFormat="1" ht="18.75" spans="1:5">
      <c r="A5790" s="8" t="str">
        <f t="shared" si="101"/>
        <v>250026</v>
      </c>
      <c r="B5790" s="8" t="str">
        <f>"2561406014523"</f>
        <v>2561406014523</v>
      </c>
      <c r="C5790" s="8" t="s">
        <v>12</v>
      </c>
      <c r="D5790" s="9">
        <v>0</v>
      </c>
      <c r="E5790" s="8">
        <v>94</v>
      </c>
    </row>
    <row r="5791" s="3" customFormat="1" ht="18.75" spans="1:5">
      <c r="A5791" s="8" t="str">
        <f t="shared" si="101"/>
        <v>250026</v>
      </c>
      <c r="B5791" s="8" t="str">
        <f>"2561406014525"</f>
        <v>2561406014525</v>
      </c>
      <c r="C5791" s="8" t="s">
        <v>12</v>
      </c>
      <c r="D5791" s="9">
        <v>0</v>
      </c>
      <c r="E5791" s="8">
        <v>94</v>
      </c>
    </row>
    <row r="5792" s="3" customFormat="1" ht="18.75" spans="1:5">
      <c r="A5792" s="8" t="str">
        <f t="shared" si="101"/>
        <v>250026</v>
      </c>
      <c r="B5792" s="8" t="str">
        <f>"2561406014526"</f>
        <v>2561406014526</v>
      </c>
      <c r="C5792" s="8" t="s">
        <v>12</v>
      </c>
      <c r="D5792" s="9">
        <v>0</v>
      </c>
      <c r="E5792" s="8">
        <v>94</v>
      </c>
    </row>
    <row r="5793" s="3" customFormat="1" ht="18.75" spans="1:5">
      <c r="A5793" s="8" t="str">
        <f t="shared" si="101"/>
        <v>250026</v>
      </c>
      <c r="B5793" s="8" t="str">
        <f>"2561406014527"</f>
        <v>2561406014527</v>
      </c>
      <c r="C5793" s="8" t="s">
        <v>12</v>
      </c>
      <c r="D5793" s="9">
        <v>0</v>
      </c>
      <c r="E5793" s="8">
        <v>94</v>
      </c>
    </row>
    <row r="5794" s="3" customFormat="1" ht="18.75" spans="1:5">
      <c r="A5794" s="8" t="str">
        <f t="shared" si="101"/>
        <v>250026</v>
      </c>
      <c r="B5794" s="8" t="str">
        <f>"2561406014528"</f>
        <v>2561406014528</v>
      </c>
      <c r="C5794" s="8" t="s">
        <v>12</v>
      </c>
      <c r="D5794" s="9">
        <v>0</v>
      </c>
      <c r="E5794" s="8">
        <v>94</v>
      </c>
    </row>
    <row r="5795" s="3" customFormat="1" ht="18.75" spans="1:5">
      <c r="A5795" s="8" t="str">
        <f t="shared" si="101"/>
        <v>250026</v>
      </c>
      <c r="B5795" s="8" t="str">
        <f>"2561406014529"</f>
        <v>2561406014529</v>
      </c>
      <c r="C5795" s="8" t="s">
        <v>12</v>
      </c>
      <c r="D5795" s="9">
        <v>0</v>
      </c>
      <c r="E5795" s="8">
        <v>94</v>
      </c>
    </row>
    <row r="5796" s="3" customFormat="1" ht="18.75" spans="1:5">
      <c r="A5796" s="8" t="str">
        <f t="shared" si="101"/>
        <v>250026</v>
      </c>
      <c r="B5796" s="8" t="str">
        <f>"2561406014530"</f>
        <v>2561406014530</v>
      </c>
      <c r="C5796" s="8" t="s">
        <v>12</v>
      </c>
      <c r="D5796" s="9">
        <v>0</v>
      </c>
      <c r="E5796" s="8">
        <v>94</v>
      </c>
    </row>
    <row r="5797" s="3" customFormat="1" ht="18.75" spans="1:5">
      <c r="A5797" s="8" t="str">
        <f t="shared" si="101"/>
        <v>250026</v>
      </c>
      <c r="B5797" s="8" t="str">
        <f>"2561406014601"</f>
        <v>2561406014601</v>
      </c>
      <c r="C5797" s="8" t="s">
        <v>12</v>
      </c>
      <c r="D5797" s="9">
        <v>0</v>
      </c>
      <c r="E5797" s="8">
        <v>94</v>
      </c>
    </row>
    <row r="5798" s="3" customFormat="1" ht="18.75" spans="1:5">
      <c r="A5798" s="8" t="str">
        <f t="shared" si="101"/>
        <v>250026</v>
      </c>
      <c r="B5798" s="8" t="str">
        <f>"2561406014602"</f>
        <v>2561406014602</v>
      </c>
      <c r="C5798" s="8" t="s">
        <v>12</v>
      </c>
      <c r="D5798" s="9">
        <v>0</v>
      </c>
      <c r="E5798" s="8">
        <v>94</v>
      </c>
    </row>
    <row r="5799" s="3" customFormat="1" ht="18.75" spans="1:5">
      <c r="A5799" s="8" t="str">
        <f t="shared" si="101"/>
        <v>250026</v>
      </c>
      <c r="B5799" s="8" t="str">
        <f>"2561406014603"</f>
        <v>2561406014603</v>
      </c>
      <c r="C5799" s="8" t="s">
        <v>12</v>
      </c>
      <c r="D5799" s="9">
        <v>0</v>
      </c>
      <c r="E5799" s="8">
        <v>94</v>
      </c>
    </row>
    <row r="5800" s="3" customFormat="1" ht="18.75" spans="1:5">
      <c r="A5800" s="8" t="str">
        <f t="shared" si="101"/>
        <v>250026</v>
      </c>
      <c r="B5800" s="8" t="str">
        <f>"2561406014606"</f>
        <v>2561406014606</v>
      </c>
      <c r="C5800" s="8" t="s">
        <v>12</v>
      </c>
      <c r="D5800" s="9">
        <v>0</v>
      </c>
      <c r="E5800" s="8">
        <v>94</v>
      </c>
    </row>
    <row r="5801" s="3" customFormat="1" ht="18.75" spans="1:5">
      <c r="A5801" s="8" t="str">
        <f t="shared" si="101"/>
        <v>250026</v>
      </c>
      <c r="B5801" s="8" t="str">
        <f>"2561406014608"</f>
        <v>2561406014608</v>
      </c>
      <c r="C5801" s="8" t="s">
        <v>12</v>
      </c>
      <c r="D5801" s="9">
        <v>0</v>
      </c>
      <c r="E5801" s="8">
        <v>94</v>
      </c>
    </row>
    <row r="5802" s="3" customFormat="1" ht="18.75" spans="1:5">
      <c r="A5802" s="8" t="str">
        <f t="shared" si="101"/>
        <v>250026</v>
      </c>
      <c r="B5802" s="8" t="str">
        <f>"2561406014609"</f>
        <v>2561406014609</v>
      </c>
      <c r="C5802" s="8" t="s">
        <v>12</v>
      </c>
      <c r="D5802" s="9">
        <v>0</v>
      </c>
      <c r="E5802" s="8">
        <v>94</v>
      </c>
    </row>
    <row r="5803" s="3" customFormat="1" ht="18.75" spans="1:5">
      <c r="A5803" s="8" t="str">
        <f t="shared" si="101"/>
        <v>250026</v>
      </c>
      <c r="B5803" s="8" t="str">
        <f>"2561406014610"</f>
        <v>2561406014610</v>
      </c>
      <c r="C5803" s="8" t="s">
        <v>12</v>
      </c>
      <c r="D5803" s="9">
        <v>0</v>
      </c>
      <c r="E5803" s="8">
        <v>94</v>
      </c>
    </row>
    <row r="5804" s="3" customFormat="1" ht="18.75" spans="1:5">
      <c r="A5804" s="8" t="str">
        <f t="shared" si="101"/>
        <v>250026</v>
      </c>
      <c r="B5804" s="8" t="str">
        <f>"2561406014611"</f>
        <v>2561406014611</v>
      </c>
      <c r="C5804" s="8" t="s">
        <v>12</v>
      </c>
      <c r="D5804" s="9">
        <v>0</v>
      </c>
      <c r="E5804" s="8">
        <v>94</v>
      </c>
    </row>
    <row r="5805" s="3" customFormat="1" ht="18.75" spans="1:5">
      <c r="A5805" s="8" t="str">
        <f t="shared" si="101"/>
        <v>250026</v>
      </c>
      <c r="B5805" s="8" t="str">
        <f>"2561406014612"</f>
        <v>2561406014612</v>
      </c>
      <c r="C5805" s="8" t="s">
        <v>12</v>
      </c>
      <c r="D5805" s="9">
        <v>0</v>
      </c>
      <c r="E5805" s="8">
        <v>94</v>
      </c>
    </row>
    <row r="5806" s="3" customFormat="1" ht="18.75" spans="1:5">
      <c r="A5806" s="8" t="str">
        <f t="shared" si="101"/>
        <v>250026</v>
      </c>
      <c r="B5806" s="8" t="str">
        <f>"2561406014613"</f>
        <v>2561406014613</v>
      </c>
      <c r="C5806" s="8" t="s">
        <v>12</v>
      </c>
      <c r="D5806" s="9">
        <v>0</v>
      </c>
      <c r="E5806" s="8">
        <v>94</v>
      </c>
    </row>
    <row r="5807" s="3" customFormat="1" ht="18.75" spans="1:5">
      <c r="A5807" s="8" t="str">
        <f t="shared" ref="A5807:A5870" si="102">"250027"</f>
        <v>250027</v>
      </c>
      <c r="B5807" s="8" t="str">
        <f>"2561407010413"</f>
        <v>2561407010413</v>
      </c>
      <c r="C5807" s="8" t="s">
        <v>13</v>
      </c>
      <c r="D5807" s="9">
        <v>74.06</v>
      </c>
      <c r="E5807" s="8">
        <v>1</v>
      </c>
    </row>
    <row r="5808" s="3" customFormat="1" ht="18.75" spans="1:5">
      <c r="A5808" s="8" t="str">
        <f t="shared" si="102"/>
        <v>250027</v>
      </c>
      <c r="B5808" s="8" t="str">
        <f>"2561407010806"</f>
        <v>2561407010806</v>
      </c>
      <c r="C5808" s="8" t="s">
        <v>13</v>
      </c>
      <c r="D5808" s="9">
        <v>71.88</v>
      </c>
      <c r="E5808" s="8">
        <v>2</v>
      </c>
    </row>
    <row r="5809" s="3" customFormat="1" ht="18.75" spans="1:5">
      <c r="A5809" s="8" t="str">
        <f t="shared" si="102"/>
        <v>250027</v>
      </c>
      <c r="B5809" s="8" t="str">
        <f>"2561407010628"</f>
        <v>2561407010628</v>
      </c>
      <c r="C5809" s="8" t="s">
        <v>13</v>
      </c>
      <c r="D5809" s="9">
        <v>70.65</v>
      </c>
      <c r="E5809" s="8">
        <v>3</v>
      </c>
    </row>
    <row r="5810" s="3" customFormat="1" ht="18.75" spans="1:5">
      <c r="A5810" s="8" t="str">
        <f t="shared" si="102"/>
        <v>250027</v>
      </c>
      <c r="B5810" s="8" t="str">
        <f>"2561407010710"</f>
        <v>2561407010710</v>
      </c>
      <c r="C5810" s="8" t="s">
        <v>13</v>
      </c>
      <c r="D5810" s="9">
        <v>69.67</v>
      </c>
      <c r="E5810" s="8">
        <v>4</v>
      </c>
    </row>
    <row r="5811" s="3" customFormat="1" ht="18.75" spans="1:5">
      <c r="A5811" s="8" t="str">
        <f t="shared" si="102"/>
        <v>250027</v>
      </c>
      <c r="B5811" s="8" t="str">
        <f>"2561407010921"</f>
        <v>2561407010921</v>
      </c>
      <c r="C5811" s="8" t="s">
        <v>13</v>
      </c>
      <c r="D5811" s="9">
        <v>69.48</v>
      </c>
      <c r="E5811" s="8">
        <v>5</v>
      </c>
    </row>
    <row r="5812" s="3" customFormat="1" ht="18.75" spans="1:5">
      <c r="A5812" s="8" t="str">
        <f t="shared" si="102"/>
        <v>250027</v>
      </c>
      <c r="B5812" s="8" t="str">
        <f>"2561407010519"</f>
        <v>2561407010519</v>
      </c>
      <c r="C5812" s="8" t="s">
        <v>13</v>
      </c>
      <c r="D5812" s="9">
        <v>67.31</v>
      </c>
      <c r="E5812" s="8">
        <v>6</v>
      </c>
    </row>
    <row r="5813" s="3" customFormat="1" ht="18.75" spans="1:5">
      <c r="A5813" s="8" t="str">
        <f t="shared" si="102"/>
        <v>250027</v>
      </c>
      <c r="B5813" s="8" t="str">
        <f>"2561407010920"</f>
        <v>2561407010920</v>
      </c>
      <c r="C5813" s="8" t="s">
        <v>13</v>
      </c>
      <c r="D5813" s="9">
        <v>67.18</v>
      </c>
      <c r="E5813" s="8">
        <v>7</v>
      </c>
    </row>
    <row r="5814" s="3" customFormat="1" ht="18.75" spans="1:5">
      <c r="A5814" s="8" t="str">
        <f t="shared" si="102"/>
        <v>250027</v>
      </c>
      <c r="B5814" s="8" t="str">
        <f>"2561407010206"</f>
        <v>2561407010206</v>
      </c>
      <c r="C5814" s="8" t="s">
        <v>13</v>
      </c>
      <c r="D5814" s="9">
        <v>66.9</v>
      </c>
      <c r="E5814" s="8">
        <v>8</v>
      </c>
    </row>
    <row r="5815" s="3" customFormat="1" ht="18.75" spans="1:5">
      <c r="A5815" s="8" t="str">
        <f t="shared" si="102"/>
        <v>250027</v>
      </c>
      <c r="B5815" s="8" t="str">
        <f>"2561407011016"</f>
        <v>2561407011016</v>
      </c>
      <c r="C5815" s="8" t="s">
        <v>13</v>
      </c>
      <c r="D5815" s="9">
        <v>66.8</v>
      </c>
      <c r="E5815" s="8">
        <v>9</v>
      </c>
    </row>
    <row r="5816" s="3" customFormat="1" ht="18.75" spans="1:5">
      <c r="A5816" s="8" t="str">
        <f t="shared" si="102"/>
        <v>250027</v>
      </c>
      <c r="B5816" s="8" t="str">
        <f>"2561407010103"</f>
        <v>2561407010103</v>
      </c>
      <c r="C5816" s="8" t="s">
        <v>13</v>
      </c>
      <c r="D5816" s="9">
        <v>66.78</v>
      </c>
      <c r="E5816" s="8">
        <v>10</v>
      </c>
    </row>
    <row r="5817" s="3" customFormat="1" ht="18.75" spans="1:5">
      <c r="A5817" s="8" t="str">
        <f t="shared" si="102"/>
        <v>250027</v>
      </c>
      <c r="B5817" s="8" t="str">
        <f>"2561407011022"</f>
        <v>2561407011022</v>
      </c>
      <c r="C5817" s="8" t="s">
        <v>13</v>
      </c>
      <c r="D5817" s="9">
        <v>66.45</v>
      </c>
      <c r="E5817" s="8">
        <v>11</v>
      </c>
    </row>
    <row r="5818" s="3" customFormat="1" ht="18.75" spans="1:5">
      <c r="A5818" s="8" t="str">
        <f t="shared" si="102"/>
        <v>250027</v>
      </c>
      <c r="B5818" s="8" t="str">
        <f>"2561407010629"</f>
        <v>2561407010629</v>
      </c>
      <c r="C5818" s="8" t="s">
        <v>13</v>
      </c>
      <c r="D5818" s="9">
        <v>66.43</v>
      </c>
      <c r="E5818" s="8">
        <v>12</v>
      </c>
    </row>
    <row r="5819" s="3" customFormat="1" ht="18.75" spans="1:5">
      <c r="A5819" s="8" t="str">
        <f t="shared" si="102"/>
        <v>250027</v>
      </c>
      <c r="B5819" s="8" t="str">
        <f>"2561407010312"</f>
        <v>2561407010312</v>
      </c>
      <c r="C5819" s="8" t="s">
        <v>13</v>
      </c>
      <c r="D5819" s="9">
        <v>66.36</v>
      </c>
      <c r="E5819" s="8">
        <v>13</v>
      </c>
    </row>
    <row r="5820" s="3" customFormat="1" ht="18.75" spans="1:5">
      <c r="A5820" s="8" t="str">
        <f t="shared" si="102"/>
        <v>250027</v>
      </c>
      <c r="B5820" s="8" t="str">
        <f>"2561407010918"</f>
        <v>2561407010918</v>
      </c>
      <c r="C5820" s="8" t="s">
        <v>13</v>
      </c>
      <c r="D5820" s="9">
        <v>66.3</v>
      </c>
      <c r="E5820" s="8">
        <v>14</v>
      </c>
    </row>
    <row r="5821" s="3" customFormat="1" ht="18.75" spans="1:5">
      <c r="A5821" s="8" t="str">
        <f t="shared" si="102"/>
        <v>250027</v>
      </c>
      <c r="B5821" s="8" t="str">
        <f>"2561407011023"</f>
        <v>2561407011023</v>
      </c>
      <c r="C5821" s="8" t="s">
        <v>13</v>
      </c>
      <c r="D5821" s="9">
        <v>66.15</v>
      </c>
      <c r="E5821" s="8">
        <v>15</v>
      </c>
    </row>
    <row r="5822" s="3" customFormat="1" ht="18.75" spans="1:5">
      <c r="A5822" s="8" t="str">
        <f t="shared" si="102"/>
        <v>250027</v>
      </c>
      <c r="B5822" s="8" t="str">
        <f>"2561407010404"</f>
        <v>2561407010404</v>
      </c>
      <c r="C5822" s="8" t="s">
        <v>13</v>
      </c>
      <c r="D5822" s="9">
        <v>65.73</v>
      </c>
      <c r="E5822" s="8">
        <v>16</v>
      </c>
    </row>
    <row r="5823" s="3" customFormat="1" ht="18.75" spans="1:5">
      <c r="A5823" s="8" t="str">
        <f t="shared" si="102"/>
        <v>250027</v>
      </c>
      <c r="B5823" s="8" t="str">
        <f>"2561407011014"</f>
        <v>2561407011014</v>
      </c>
      <c r="C5823" s="8" t="s">
        <v>13</v>
      </c>
      <c r="D5823" s="9">
        <v>65.64</v>
      </c>
      <c r="E5823" s="8">
        <v>17</v>
      </c>
    </row>
    <row r="5824" s="3" customFormat="1" ht="18.75" spans="1:5">
      <c r="A5824" s="8" t="str">
        <f t="shared" si="102"/>
        <v>250027</v>
      </c>
      <c r="B5824" s="8" t="str">
        <f>"2561407011010"</f>
        <v>2561407011010</v>
      </c>
      <c r="C5824" s="8" t="s">
        <v>13</v>
      </c>
      <c r="D5824" s="9">
        <v>65.6</v>
      </c>
      <c r="E5824" s="8">
        <v>18</v>
      </c>
    </row>
    <row r="5825" s="3" customFormat="1" ht="18.75" spans="1:5">
      <c r="A5825" s="8" t="str">
        <f t="shared" si="102"/>
        <v>250027</v>
      </c>
      <c r="B5825" s="8" t="str">
        <f>"2561407010505"</f>
        <v>2561407010505</v>
      </c>
      <c r="C5825" s="8" t="s">
        <v>13</v>
      </c>
      <c r="D5825" s="9">
        <v>65.26</v>
      </c>
      <c r="E5825" s="8">
        <v>19</v>
      </c>
    </row>
    <row r="5826" s="3" customFormat="1" ht="18.75" spans="1:5">
      <c r="A5826" s="8" t="str">
        <f t="shared" si="102"/>
        <v>250027</v>
      </c>
      <c r="B5826" s="8" t="str">
        <f>"2561407010818"</f>
        <v>2561407010818</v>
      </c>
      <c r="C5826" s="8" t="s">
        <v>13</v>
      </c>
      <c r="D5826" s="9">
        <v>65.23</v>
      </c>
      <c r="E5826" s="8">
        <v>20</v>
      </c>
    </row>
    <row r="5827" s="3" customFormat="1" ht="18.75" spans="1:5">
      <c r="A5827" s="8" t="str">
        <f t="shared" si="102"/>
        <v>250027</v>
      </c>
      <c r="B5827" s="8" t="str">
        <f>"2561407011025"</f>
        <v>2561407011025</v>
      </c>
      <c r="C5827" s="8" t="s">
        <v>13</v>
      </c>
      <c r="D5827" s="9">
        <v>65.22</v>
      </c>
      <c r="E5827" s="8">
        <v>21</v>
      </c>
    </row>
    <row r="5828" s="3" customFormat="1" ht="18.75" spans="1:5">
      <c r="A5828" s="8" t="str">
        <f t="shared" si="102"/>
        <v>250027</v>
      </c>
      <c r="B5828" s="8" t="str">
        <f>"2561407010905"</f>
        <v>2561407010905</v>
      </c>
      <c r="C5828" s="8" t="s">
        <v>13</v>
      </c>
      <c r="D5828" s="9">
        <v>64.39</v>
      </c>
      <c r="E5828" s="8">
        <v>22</v>
      </c>
    </row>
    <row r="5829" s="3" customFormat="1" ht="18.75" spans="1:5">
      <c r="A5829" s="8" t="str">
        <f t="shared" si="102"/>
        <v>250027</v>
      </c>
      <c r="B5829" s="8" t="str">
        <f>"2561407010105"</f>
        <v>2561407010105</v>
      </c>
      <c r="C5829" s="8" t="s">
        <v>13</v>
      </c>
      <c r="D5829" s="9">
        <v>64.27</v>
      </c>
      <c r="E5829" s="8">
        <v>23</v>
      </c>
    </row>
    <row r="5830" s="3" customFormat="1" ht="18.75" spans="1:5">
      <c r="A5830" s="8" t="str">
        <f t="shared" si="102"/>
        <v>250027</v>
      </c>
      <c r="B5830" s="8" t="str">
        <f>"2561407010306"</f>
        <v>2561407010306</v>
      </c>
      <c r="C5830" s="8" t="s">
        <v>13</v>
      </c>
      <c r="D5830" s="9">
        <v>64.27</v>
      </c>
      <c r="E5830" s="8">
        <v>23</v>
      </c>
    </row>
    <row r="5831" s="3" customFormat="1" ht="18.75" spans="1:5">
      <c r="A5831" s="8" t="str">
        <f t="shared" si="102"/>
        <v>250027</v>
      </c>
      <c r="B5831" s="8" t="str">
        <f>"2561407010703"</f>
        <v>2561407010703</v>
      </c>
      <c r="C5831" s="8" t="s">
        <v>13</v>
      </c>
      <c r="D5831" s="9">
        <v>63.57</v>
      </c>
      <c r="E5831" s="8">
        <v>25</v>
      </c>
    </row>
    <row r="5832" s="3" customFormat="1" ht="18.75" spans="1:5">
      <c r="A5832" s="8" t="str">
        <f t="shared" si="102"/>
        <v>250027</v>
      </c>
      <c r="B5832" s="8" t="str">
        <f>"2561407010730"</f>
        <v>2561407010730</v>
      </c>
      <c r="C5832" s="8" t="s">
        <v>13</v>
      </c>
      <c r="D5832" s="9">
        <v>63.44</v>
      </c>
      <c r="E5832" s="8">
        <v>26</v>
      </c>
    </row>
    <row r="5833" s="3" customFormat="1" ht="18.75" spans="1:5">
      <c r="A5833" s="8" t="str">
        <f t="shared" si="102"/>
        <v>250027</v>
      </c>
      <c r="B5833" s="8" t="str">
        <f>"2561407010815"</f>
        <v>2561407010815</v>
      </c>
      <c r="C5833" s="8" t="s">
        <v>13</v>
      </c>
      <c r="D5833" s="9">
        <v>63.25</v>
      </c>
      <c r="E5833" s="8">
        <v>27</v>
      </c>
    </row>
    <row r="5834" s="3" customFormat="1" ht="18.75" spans="1:5">
      <c r="A5834" s="8" t="str">
        <f t="shared" si="102"/>
        <v>250027</v>
      </c>
      <c r="B5834" s="8" t="str">
        <f>"2561407011204"</f>
        <v>2561407011204</v>
      </c>
      <c r="C5834" s="8" t="s">
        <v>13</v>
      </c>
      <c r="D5834" s="9">
        <v>63.23</v>
      </c>
      <c r="E5834" s="8">
        <v>28</v>
      </c>
    </row>
    <row r="5835" s="3" customFormat="1" ht="18.75" spans="1:5">
      <c r="A5835" s="8" t="str">
        <f t="shared" si="102"/>
        <v>250027</v>
      </c>
      <c r="B5835" s="8" t="str">
        <f>"2561407010508"</f>
        <v>2561407010508</v>
      </c>
      <c r="C5835" s="8" t="s">
        <v>13</v>
      </c>
      <c r="D5835" s="9">
        <v>63</v>
      </c>
      <c r="E5835" s="8">
        <v>29</v>
      </c>
    </row>
    <row r="5836" s="3" customFormat="1" ht="18.75" spans="1:5">
      <c r="A5836" s="8" t="str">
        <f t="shared" si="102"/>
        <v>250027</v>
      </c>
      <c r="B5836" s="8" t="str">
        <f>"2561407010309"</f>
        <v>2561407010309</v>
      </c>
      <c r="C5836" s="8" t="s">
        <v>13</v>
      </c>
      <c r="D5836" s="9">
        <v>62.81</v>
      </c>
      <c r="E5836" s="8">
        <v>30</v>
      </c>
    </row>
    <row r="5837" s="3" customFormat="1" ht="18.75" spans="1:5">
      <c r="A5837" s="8" t="str">
        <f t="shared" si="102"/>
        <v>250027</v>
      </c>
      <c r="B5837" s="8" t="str">
        <f>"2561407010801"</f>
        <v>2561407010801</v>
      </c>
      <c r="C5837" s="8" t="s">
        <v>13</v>
      </c>
      <c r="D5837" s="9">
        <v>62.73</v>
      </c>
      <c r="E5837" s="8">
        <v>31</v>
      </c>
    </row>
    <row r="5838" s="3" customFormat="1" ht="18.75" spans="1:5">
      <c r="A5838" s="8" t="str">
        <f t="shared" si="102"/>
        <v>250027</v>
      </c>
      <c r="B5838" s="8" t="str">
        <f>"2561407010922"</f>
        <v>2561407010922</v>
      </c>
      <c r="C5838" s="8" t="s">
        <v>13</v>
      </c>
      <c r="D5838" s="9">
        <v>62.47</v>
      </c>
      <c r="E5838" s="8">
        <v>32</v>
      </c>
    </row>
    <row r="5839" s="3" customFormat="1" ht="18.75" spans="1:5">
      <c r="A5839" s="8" t="str">
        <f t="shared" si="102"/>
        <v>250027</v>
      </c>
      <c r="B5839" s="8" t="str">
        <f>"2561407010908"</f>
        <v>2561407010908</v>
      </c>
      <c r="C5839" s="8" t="s">
        <v>13</v>
      </c>
      <c r="D5839" s="9">
        <v>61.58</v>
      </c>
      <c r="E5839" s="8">
        <v>33</v>
      </c>
    </row>
    <row r="5840" s="3" customFormat="1" ht="18.75" spans="1:5">
      <c r="A5840" s="8" t="str">
        <f t="shared" si="102"/>
        <v>250027</v>
      </c>
      <c r="B5840" s="8" t="str">
        <f>"2561407011104"</f>
        <v>2561407011104</v>
      </c>
      <c r="C5840" s="8" t="s">
        <v>13</v>
      </c>
      <c r="D5840" s="9">
        <v>61.48</v>
      </c>
      <c r="E5840" s="8">
        <v>34</v>
      </c>
    </row>
    <row r="5841" s="3" customFormat="1" ht="18.75" spans="1:5">
      <c r="A5841" s="8" t="str">
        <f t="shared" si="102"/>
        <v>250027</v>
      </c>
      <c r="B5841" s="8" t="str">
        <f>"2561407010924"</f>
        <v>2561407010924</v>
      </c>
      <c r="C5841" s="8" t="s">
        <v>13</v>
      </c>
      <c r="D5841" s="9">
        <v>61.26</v>
      </c>
      <c r="E5841" s="8">
        <v>35</v>
      </c>
    </row>
    <row r="5842" s="3" customFormat="1" ht="18.75" spans="1:5">
      <c r="A5842" s="8" t="str">
        <f t="shared" si="102"/>
        <v>250027</v>
      </c>
      <c r="B5842" s="8" t="str">
        <f>"2561407011107"</f>
        <v>2561407011107</v>
      </c>
      <c r="C5842" s="8" t="s">
        <v>13</v>
      </c>
      <c r="D5842" s="9">
        <v>60.97</v>
      </c>
      <c r="E5842" s="8">
        <v>36</v>
      </c>
    </row>
    <row r="5843" s="3" customFormat="1" ht="18.75" spans="1:5">
      <c r="A5843" s="8" t="str">
        <f t="shared" si="102"/>
        <v>250027</v>
      </c>
      <c r="B5843" s="8" t="str">
        <f>"2561407011017"</f>
        <v>2561407011017</v>
      </c>
      <c r="C5843" s="8" t="s">
        <v>13</v>
      </c>
      <c r="D5843" s="9">
        <v>60.57</v>
      </c>
      <c r="E5843" s="8">
        <v>37</v>
      </c>
    </row>
    <row r="5844" s="3" customFormat="1" ht="18.75" spans="1:5">
      <c r="A5844" s="8" t="str">
        <f t="shared" si="102"/>
        <v>250027</v>
      </c>
      <c r="B5844" s="8" t="str">
        <f>"2561407010223"</f>
        <v>2561407010223</v>
      </c>
      <c r="C5844" s="8" t="s">
        <v>13</v>
      </c>
      <c r="D5844" s="9">
        <v>60.56</v>
      </c>
      <c r="E5844" s="8">
        <v>38</v>
      </c>
    </row>
    <row r="5845" s="3" customFormat="1" ht="18.75" spans="1:5">
      <c r="A5845" s="8" t="str">
        <f t="shared" si="102"/>
        <v>250027</v>
      </c>
      <c r="B5845" s="8" t="str">
        <f>"2561407011001"</f>
        <v>2561407011001</v>
      </c>
      <c r="C5845" s="8" t="s">
        <v>13</v>
      </c>
      <c r="D5845" s="9">
        <v>60.53</v>
      </c>
      <c r="E5845" s="8">
        <v>39</v>
      </c>
    </row>
    <row r="5846" s="3" customFormat="1" ht="18.75" spans="1:5">
      <c r="A5846" s="8" t="str">
        <f t="shared" si="102"/>
        <v>250027</v>
      </c>
      <c r="B5846" s="8" t="str">
        <f>"2561407010623"</f>
        <v>2561407010623</v>
      </c>
      <c r="C5846" s="8" t="s">
        <v>13</v>
      </c>
      <c r="D5846" s="9">
        <v>60.33</v>
      </c>
      <c r="E5846" s="8">
        <v>40</v>
      </c>
    </row>
    <row r="5847" s="3" customFormat="1" ht="18.75" spans="1:5">
      <c r="A5847" s="8" t="str">
        <f t="shared" si="102"/>
        <v>250027</v>
      </c>
      <c r="B5847" s="8" t="str">
        <f>"2561407010701"</f>
        <v>2561407010701</v>
      </c>
      <c r="C5847" s="8" t="s">
        <v>13</v>
      </c>
      <c r="D5847" s="9">
        <v>60.21</v>
      </c>
      <c r="E5847" s="8">
        <v>41</v>
      </c>
    </row>
    <row r="5848" s="3" customFormat="1" ht="18.75" spans="1:5">
      <c r="A5848" s="8" t="str">
        <f t="shared" si="102"/>
        <v>250027</v>
      </c>
      <c r="B5848" s="8" t="str">
        <f>"2561407010430"</f>
        <v>2561407010430</v>
      </c>
      <c r="C5848" s="8" t="s">
        <v>13</v>
      </c>
      <c r="D5848" s="9">
        <v>60.08</v>
      </c>
      <c r="E5848" s="8">
        <v>42</v>
      </c>
    </row>
    <row r="5849" s="3" customFormat="1" ht="18.75" spans="1:5">
      <c r="A5849" s="8" t="str">
        <f t="shared" si="102"/>
        <v>250027</v>
      </c>
      <c r="B5849" s="8" t="str">
        <f>"2561407010422"</f>
        <v>2561407010422</v>
      </c>
      <c r="C5849" s="8" t="s">
        <v>13</v>
      </c>
      <c r="D5849" s="9">
        <v>59.98</v>
      </c>
      <c r="E5849" s="8">
        <v>43</v>
      </c>
    </row>
    <row r="5850" s="3" customFormat="1" ht="18.75" spans="1:5">
      <c r="A5850" s="8" t="str">
        <f t="shared" si="102"/>
        <v>250027</v>
      </c>
      <c r="B5850" s="8" t="str">
        <f>"2561407010803"</f>
        <v>2561407010803</v>
      </c>
      <c r="C5850" s="8" t="s">
        <v>13</v>
      </c>
      <c r="D5850" s="9">
        <v>59.84</v>
      </c>
      <c r="E5850" s="8">
        <v>44</v>
      </c>
    </row>
    <row r="5851" s="3" customFormat="1" ht="18.75" spans="1:5">
      <c r="A5851" s="8" t="str">
        <f t="shared" si="102"/>
        <v>250027</v>
      </c>
      <c r="B5851" s="8" t="str">
        <f>"2561407010917"</f>
        <v>2561407010917</v>
      </c>
      <c r="C5851" s="8" t="s">
        <v>13</v>
      </c>
      <c r="D5851" s="9">
        <v>59.6</v>
      </c>
      <c r="E5851" s="8">
        <v>45</v>
      </c>
    </row>
    <row r="5852" s="3" customFormat="1" ht="18.75" spans="1:5">
      <c r="A5852" s="8" t="str">
        <f t="shared" si="102"/>
        <v>250027</v>
      </c>
      <c r="B5852" s="8" t="str">
        <f>"2561407010609"</f>
        <v>2561407010609</v>
      </c>
      <c r="C5852" s="8" t="s">
        <v>13</v>
      </c>
      <c r="D5852" s="9">
        <v>59.51</v>
      </c>
      <c r="E5852" s="8">
        <v>46</v>
      </c>
    </row>
    <row r="5853" s="3" customFormat="1" ht="18.75" spans="1:5">
      <c r="A5853" s="8" t="str">
        <f t="shared" si="102"/>
        <v>250027</v>
      </c>
      <c r="B5853" s="8" t="str">
        <f>"2561407010712"</f>
        <v>2561407010712</v>
      </c>
      <c r="C5853" s="8" t="s">
        <v>13</v>
      </c>
      <c r="D5853" s="9">
        <v>59.42</v>
      </c>
      <c r="E5853" s="8">
        <v>47</v>
      </c>
    </row>
    <row r="5854" s="3" customFormat="1" ht="18.75" spans="1:5">
      <c r="A5854" s="8" t="str">
        <f t="shared" si="102"/>
        <v>250027</v>
      </c>
      <c r="B5854" s="8" t="str">
        <f>"2561407010718"</f>
        <v>2561407010718</v>
      </c>
      <c r="C5854" s="8" t="s">
        <v>13</v>
      </c>
      <c r="D5854" s="9">
        <v>59.41</v>
      </c>
      <c r="E5854" s="8">
        <v>48</v>
      </c>
    </row>
    <row r="5855" s="3" customFormat="1" ht="18.75" spans="1:5">
      <c r="A5855" s="8" t="str">
        <f t="shared" si="102"/>
        <v>250027</v>
      </c>
      <c r="B5855" s="8" t="str">
        <f>"2561407010907"</f>
        <v>2561407010907</v>
      </c>
      <c r="C5855" s="8" t="s">
        <v>13</v>
      </c>
      <c r="D5855" s="9">
        <v>59.36</v>
      </c>
      <c r="E5855" s="8">
        <v>49</v>
      </c>
    </row>
    <row r="5856" s="3" customFormat="1" ht="18.75" spans="1:5">
      <c r="A5856" s="8" t="str">
        <f t="shared" si="102"/>
        <v>250027</v>
      </c>
      <c r="B5856" s="8" t="str">
        <f>"2561407010608"</f>
        <v>2561407010608</v>
      </c>
      <c r="C5856" s="8" t="s">
        <v>13</v>
      </c>
      <c r="D5856" s="9">
        <v>59.32</v>
      </c>
      <c r="E5856" s="8">
        <v>50</v>
      </c>
    </row>
    <row r="5857" s="3" customFormat="1" ht="18.75" spans="1:5">
      <c r="A5857" s="8" t="str">
        <f t="shared" si="102"/>
        <v>250027</v>
      </c>
      <c r="B5857" s="8" t="str">
        <f>"2561407011021"</f>
        <v>2561407011021</v>
      </c>
      <c r="C5857" s="8" t="s">
        <v>13</v>
      </c>
      <c r="D5857" s="9">
        <v>59.06</v>
      </c>
      <c r="E5857" s="8">
        <v>51</v>
      </c>
    </row>
    <row r="5858" s="3" customFormat="1" ht="18.75" spans="1:5">
      <c r="A5858" s="8" t="str">
        <f t="shared" si="102"/>
        <v>250027</v>
      </c>
      <c r="B5858" s="8" t="str">
        <f>"2561407010819"</f>
        <v>2561407010819</v>
      </c>
      <c r="C5858" s="8" t="s">
        <v>13</v>
      </c>
      <c r="D5858" s="9">
        <v>58.96</v>
      </c>
      <c r="E5858" s="8">
        <v>52</v>
      </c>
    </row>
    <row r="5859" s="3" customFormat="1" ht="18.75" spans="1:5">
      <c r="A5859" s="8" t="str">
        <f t="shared" si="102"/>
        <v>250027</v>
      </c>
      <c r="B5859" s="8" t="str">
        <f>"2561407010323"</f>
        <v>2561407010323</v>
      </c>
      <c r="C5859" s="8" t="s">
        <v>13</v>
      </c>
      <c r="D5859" s="9">
        <v>58.84</v>
      </c>
      <c r="E5859" s="8">
        <v>53</v>
      </c>
    </row>
    <row r="5860" s="3" customFormat="1" ht="18.75" spans="1:5">
      <c r="A5860" s="8" t="str">
        <f t="shared" si="102"/>
        <v>250027</v>
      </c>
      <c r="B5860" s="8" t="str">
        <f>"2561407010112"</f>
        <v>2561407010112</v>
      </c>
      <c r="C5860" s="8" t="s">
        <v>13</v>
      </c>
      <c r="D5860" s="9">
        <v>58.78</v>
      </c>
      <c r="E5860" s="8">
        <v>54</v>
      </c>
    </row>
    <row r="5861" s="3" customFormat="1" ht="18.75" spans="1:5">
      <c r="A5861" s="8" t="str">
        <f t="shared" si="102"/>
        <v>250027</v>
      </c>
      <c r="B5861" s="8" t="str">
        <f>"2561407010110"</f>
        <v>2561407010110</v>
      </c>
      <c r="C5861" s="8" t="s">
        <v>13</v>
      </c>
      <c r="D5861" s="9">
        <v>58.56</v>
      </c>
      <c r="E5861" s="8">
        <v>55</v>
      </c>
    </row>
    <row r="5862" s="3" customFormat="1" ht="18.75" spans="1:5">
      <c r="A5862" s="8" t="str">
        <f t="shared" si="102"/>
        <v>250027</v>
      </c>
      <c r="B5862" s="8" t="str">
        <f>"2561407010214"</f>
        <v>2561407010214</v>
      </c>
      <c r="C5862" s="8" t="s">
        <v>13</v>
      </c>
      <c r="D5862" s="9">
        <v>58.44</v>
      </c>
      <c r="E5862" s="8">
        <v>56</v>
      </c>
    </row>
    <row r="5863" s="3" customFormat="1" ht="18.75" spans="1:5">
      <c r="A5863" s="8" t="str">
        <f t="shared" si="102"/>
        <v>250027</v>
      </c>
      <c r="B5863" s="8" t="str">
        <f>"2561407010606"</f>
        <v>2561407010606</v>
      </c>
      <c r="C5863" s="8" t="s">
        <v>13</v>
      </c>
      <c r="D5863" s="9">
        <v>58.02</v>
      </c>
      <c r="E5863" s="8">
        <v>57</v>
      </c>
    </row>
    <row r="5864" s="3" customFormat="1" ht="18.75" spans="1:5">
      <c r="A5864" s="8" t="str">
        <f t="shared" si="102"/>
        <v>250027</v>
      </c>
      <c r="B5864" s="8" t="str">
        <f>"2561407010727"</f>
        <v>2561407010727</v>
      </c>
      <c r="C5864" s="8" t="s">
        <v>13</v>
      </c>
      <c r="D5864" s="9">
        <v>57.96</v>
      </c>
      <c r="E5864" s="8">
        <v>58</v>
      </c>
    </row>
    <row r="5865" s="3" customFormat="1" ht="18.75" spans="1:5">
      <c r="A5865" s="8" t="str">
        <f t="shared" si="102"/>
        <v>250027</v>
      </c>
      <c r="B5865" s="8" t="str">
        <f>"2561407010218"</f>
        <v>2561407010218</v>
      </c>
      <c r="C5865" s="8" t="s">
        <v>13</v>
      </c>
      <c r="D5865" s="9">
        <v>57.57</v>
      </c>
      <c r="E5865" s="8">
        <v>59</v>
      </c>
    </row>
    <row r="5866" s="3" customFormat="1" ht="18.75" spans="1:5">
      <c r="A5866" s="8" t="str">
        <f t="shared" si="102"/>
        <v>250027</v>
      </c>
      <c r="B5866" s="8" t="str">
        <f>"2561407010909"</f>
        <v>2561407010909</v>
      </c>
      <c r="C5866" s="8" t="s">
        <v>13</v>
      </c>
      <c r="D5866" s="9">
        <v>57.5</v>
      </c>
      <c r="E5866" s="8">
        <v>60</v>
      </c>
    </row>
    <row r="5867" s="3" customFormat="1" ht="18.75" spans="1:5">
      <c r="A5867" s="8" t="str">
        <f t="shared" si="102"/>
        <v>250027</v>
      </c>
      <c r="B5867" s="8" t="str">
        <f>"2561407010321"</f>
        <v>2561407010321</v>
      </c>
      <c r="C5867" s="8" t="s">
        <v>13</v>
      </c>
      <c r="D5867" s="9">
        <v>57.41</v>
      </c>
      <c r="E5867" s="8">
        <v>61</v>
      </c>
    </row>
    <row r="5868" s="3" customFormat="1" ht="18.75" spans="1:5">
      <c r="A5868" s="8" t="str">
        <f t="shared" si="102"/>
        <v>250027</v>
      </c>
      <c r="B5868" s="8" t="str">
        <f>"2561407011003"</f>
        <v>2561407011003</v>
      </c>
      <c r="C5868" s="8" t="s">
        <v>13</v>
      </c>
      <c r="D5868" s="9">
        <v>57.3</v>
      </c>
      <c r="E5868" s="8">
        <v>62</v>
      </c>
    </row>
    <row r="5869" s="3" customFormat="1" ht="18.75" spans="1:5">
      <c r="A5869" s="8" t="str">
        <f t="shared" si="102"/>
        <v>250027</v>
      </c>
      <c r="B5869" s="8" t="str">
        <f>"2561407010506"</f>
        <v>2561407010506</v>
      </c>
      <c r="C5869" s="8" t="s">
        <v>13</v>
      </c>
      <c r="D5869" s="9">
        <v>57.27</v>
      </c>
      <c r="E5869" s="8">
        <v>63</v>
      </c>
    </row>
    <row r="5870" s="3" customFormat="1" ht="18.75" spans="1:5">
      <c r="A5870" s="8" t="str">
        <f t="shared" si="102"/>
        <v>250027</v>
      </c>
      <c r="B5870" s="8" t="str">
        <f>"2561407010130"</f>
        <v>2561407010130</v>
      </c>
      <c r="C5870" s="8" t="s">
        <v>13</v>
      </c>
      <c r="D5870" s="9">
        <v>57.01</v>
      </c>
      <c r="E5870" s="8">
        <v>64</v>
      </c>
    </row>
    <row r="5871" s="3" customFormat="1" ht="18.75" spans="1:5">
      <c r="A5871" s="8" t="str">
        <f t="shared" ref="A5871:A5934" si="103">"250027"</f>
        <v>250027</v>
      </c>
      <c r="B5871" s="8" t="str">
        <f>"2561407010117"</f>
        <v>2561407010117</v>
      </c>
      <c r="C5871" s="8" t="s">
        <v>13</v>
      </c>
      <c r="D5871" s="9">
        <v>56.89</v>
      </c>
      <c r="E5871" s="8">
        <v>65</v>
      </c>
    </row>
    <row r="5872" s="3" customFormat="1" ht="18.75" spans="1:5">
      <c r="A5872" s="8" t="str">
        <f t="shared" si="103"/>
        <v>250027</v>
      </c>
      <c r="B5872" s="8" t="str">
        <f>"2561407010530"</f>
        <v>2561407010530</v>
      </c>
      <c r="C5872" s="8" t="s">
        <v>13</v>
      </c>
      <c r="D5872" s="9">
        <v>56.85</v>
      </c>
      <c r="E5872" s="8">
        <v>66</v>
      </c>
    </row>
    <row r="5873" s="3" customFormat="1" ht="18.75" spans="1:5">
      <c r="A5873" s="8" t="str">
        <f t="shared" si="103"/>
        <v>250027</v>
      </c>
      <c r="B5873" s="8" t="str">
        <f>"2561407010902"</f>
        <v>2561407010902</v>
      </c>
      <c r="C5873" s="8" t="s">
        <v>13</v>
      </c>
      <c r="D5873" s="9">
        <v>56.82</v>
      </c>
      <c r="E5873" s="8">
        <v>67</v>
      </c>
    </row>
    <row r="5874" s="3" customFormat="1" ht="18.75" spans="1:5">
      <c r="A5874" s="8" t="str">
        <f t="shared" si="103"/>
        <v>250027</v>
      </c>
      <c r="B5874" s="8" t="str">
        <f>"2561407010720"</f>
        <v>2561407010720</v>
      </c>
      <c r="C5874" s="8" t="s">
        <v>13</v>
      </c>
      <c r="D5874" s="9">
        <v>56.72</v>
      </c>
      <c r="E5874" s="8">
        <v>68</v>
      </c>
    </row>
    <row r="5875" s="3" customFormat="1" ht="18.75" spans="1:5">
      <c r="A5875" s="8" t="str">
        <f t="shared" si="103"/>
        <v>250027</v>
      </c>
      <c r="B5875" s="8" t="str">
        <f>"2561407010324"</f>
        <v>2561407010324</v>
      </c>
      <c r="C5875" s="8" t="s">
        <v>13</v>
      </c>
      <c r="D5875" s="9">
        <v>56.68</v>
      </c>
      <c r="E5875" s="8">
        <v>69</v>
      </c>
    </row>
    <row r="5876" s="3" customFormat="1" ht="18.75" spans="1:5">
      <c r="A5876" s="8" t="str">
        <f t="shared" si="103"/>
        <v>250027</v>
      </c>
      <c r="B5876" s="8" t="str">
        <f>"2561407010812"</f>
        <v>2561407010812</v>
      </c>
      <c r="C5876" s="8" t="s">
        <v>13</v>
      </c>
      <c r="D5876" s="9">
        <v>56.68</v>
      </c>
      <c r="E5876" s="8">
        <v>69</v>
      </c>
    </row>
    <row r="5877" s="3" customFormat="1" ht="18.75" spans="1:5">
      <c r="A5877" s="8" t="str">
        <f t="shared" si="103"/>
        <v>250027</v>
      </c>
      <c r="B5877" s="8" t="str">
        <f>"2561407010910"</f>
        <v>2561407010910</v>
      </c>
      <c r="C5877" s="8" t="s">
        <v>13</v>
      </c>
      <c r="D5877" s="9">
        <v>56.59</v>
      </c>
      <c r="E5877" s="8">
        <v>71</v>
      </c>
    </row>
    <row r="5878" s="3" customFormat="1" ht="18.75" spans="1:5">
      <c r="A5878" s="8" t="str">
        <f t="shared" si="103"/>
        <v>250027</v>
      </c>
      <c r="B5878" s="8" t="str">
        <f>"2561407010302"</f>
        <v>2561407010302</v>
      </c>
      <c r="C5878" s="8" t="s">
        <v>13</v>
      </c>
      <c r="D5878" s="9">
        <v>56.44</v>
      </c>
      <c r="E5878" s="8">
        <v>72</v>
      </c>
    </row>
    <row r="5879" s="3" customFormat="1" ht="18.75" spans="1:5">
      <c r="A5879" s="8" t="str">
        <f t="shared" si="103"/>
        <v>250027</v>
      </c>
      <c r="B5879" s="8" t="str">
        <f>"2561407010929"</f>
        <v>2561407010929</v>
      </c>
      <c r="C5879" s="8" t="s">
        <v>13</v>
      </c>
      <c r="D5879" s="9">
        <v>56.44</v>
      </c>
      <c r="E5879" s="8">
        <v>72</v>
      </c>
    </row>
    <row r="5880" s="3" customFormat="1" ht="18.75" spans="1:5">
      <c r="A5880" s="8" t="str">
        <f t="shared" si="103"/>
        <v>250027</v>
      </c>
      <c r="B5880" s="8" t="str">
        <f>"2561407010109"</f>
        <v>2561407010109</v>
      </c>
      <c r="C5880" s="8" t="s">
        <v>13</v>
      </c>
      <c r="D5880" s="9">
        <v>56.36</v>
      </c>
      <c r="E5880" s="8">
        <v>74</v>
      </c>
    </row>
    <row r="5881" s="3" customFormat="1" ht="18.75" spans="1:5">
      <c r="A5881" s="8" t="str">
        <f t="shared" si="103"/>
        <v>250027</v>
      </c>
      <c r="B5881" s="8" t="str">
        <f>"2561407011020"</f>
        <v>2561407011020</v>
      </c>
      <c r="C5881" s="8" t="s">
        <v>13</v>
      </c>
      <c r="D5881" s="9">
        <v>56.28</v>
      </c>
      <c r="E5881" s="8">
        <v>75</v>
      </c>
    </row>
    <row r="5882" s="3" customFormat="1" ht="18.75" spans="1:5">
      <c r="A5882" s="8" t="str">
        <f t="shared" si="103"/>
        <v>250027</v>
      </c>
      <c r="B5882" s="8" t="str">
        <f>"2561407010426"</f>
        <v>2561407010426</v>
      </c>
      <c r="C5882" s="8" t="s">
        <v>13</v>
      </c>
      <c r="D5882" s="9">
        <v>56.19</v>
      </c>
      <c r="E5882" s="8">
        <v>76</v>
      </c>
    </row>
    <row r="5883" s="3" customFormat="1" ht="18.75" spans="1:5">
      <c r="A5883" s="8" t="str">
        <f t="shared" si="103"/>
        <v>250027</v>
      </c>
      <c r="B5883" s="8" t="str">
        <f>"2561407010901"</f>
        <v>2561407010901</v>
      </c>
      <c r="C5883" s="8" t="s">
        <v>13</v>
      </c>
      <c r="D5883" s="9">
        <v>56.16</v>
      </c>
      <c r="E5883" s="8">
        <v>77</v>
      </c>
    </row>
    <row r="5884" s="3" customFormat="1" ht="18.75" spans="1:5">
      <c r="A5884" s="8" t="str">
        <f t="shared" si="103"/>
        <v>250027</v>
      </c>
      <c r="B5884" s="8" t="str">
        <f>"2561407011015"</f>
        <v>2561407011015</v>
      </c>
      <c r="C5884" s="8" t="s">
        <v>13</v>
      </c>
      <c r="D5884" s="9">
        <v>56.15</v>
      </c>
      <c r="E5884" s="8">
        <v>78</v>
      </c>
    </row>
    <row r="5885" s="3" customFormat="1" ht="18.75" spans="1:5">
      <c r="A5885" s="8" t="str">
        <f t="shared" si="103"/>
        <v>250027</v>
      </c>
      <c r="B5885" s="8" t="str">
        <f>"2561407010618"</f>
        <v>2561407010618</v>
      </c>
      <c r="C5885" s="8" t="s">
        <v>13</v>
      </c>
      <c r="D5885" s="9">
        <v>56.06</v>
      </c>
      <c r="E5885" s="8">
        <v>79</v>
      </c>
    </row>
    <row r="5886" s="3" customFormat="1" ht="18.75" spans="1:5">
      <c r="A5886" s="8" t="str">
        <f t="shared" si="103"/>
        <v>250027</v>
      </c>
      <c r="B5886" s="8" t="str">
        <f>"2561407010104"</f>
        <v>2561407010104</v>
      </c>
      <c r="C5886" s="8" t="s">
        <v>13</v>
      </c>
      <c r="D5886" s="9">
        <v>55.97</v>
      </c>
      <c r="E5886" s="8">
        <v>80</v>
      </c>
    </row>
    <row r="5887" s="3" customFormat="1" ht="18.75" spans="1:5">
      <c r="A5887" s="8" t="str">
        <f t="shared" si="103"/>
        <v>250027</v>
      </c>
      <c r="B5887" s="8" t="str">
        <f>"2561407010622"</f>
        <v>2561407010622</v>
      </c>
      <c r="C5887" s="8" t="s">
        <v>13</v>
      </c>
      <c r="D5887" s="9">
        <v>55.97</v>
      </c>
      <c r="E5887" s="8">
        <v>80</v>
      </c>
    </row>
    <row r="5888" s="3" customFormat="1" ht="18.75" spans="1:5">
      <c r="A5888" s="8" t="str">
        <f t="shared" si="103"/>
        <v>250027</v>
      </c>
      <c r="B5888" s="8" t="str">
        <f>"2561407010625"</f>
        <v>2561407010625</v>
      </c>
      <c r="C5888" s="8" t="s">
        <v>13</v>
      </c>
      <c r="D5888" s="9">
        <v>55.88</v>
      </c>
      <c r="E5888" s="8">
        <v>82</v>
      </c>
    </row>
    <row r="5889" s="3" customFormat="1" ht="18.75" spans="1:5">
      <c r="A5889" s="8" t="str">
        <f t="shared" si="103"/>
        <v>250027</v>
      </c>
      <c r="B5889" s="8" t="str">
        <f>"2561407010612"</f>
        <v>2561407010612</v>
      </c>
      <c r="C5889" s="8" t="s">
        <v>13</v>
      </c>
      <c r="D5889" s="9">
        <v>55.86</v>
      </c>
      <c r="E5889" s="8">
        <v>83</v>
      </c>
    </row>
    <row r="5890" s="3" customFormat="1" ht="18.75" spans="1:5">
      <c r="A5890" s="8" t="str">
        <f t="shared" si="103"/>
        <v>250027</v>
      </c>
      <c r="B5890" s="8" t="str">
        <f>"2561407010714"</f>
        <v>2561407010714</v>
      </c>
      <c r="C5890" s="8" t="s">
        <v>13</v>
      </c>
      <c r="D5890" s="9">
        <v>55.69</v>
      </c>
      <c r="E5890" s="8">
        <v>84</v>
      </c>
    </row>
    <row r="5891" s="3" customFormat="1" ht="18.75" spans="1:5">
      <c r="A5891" s="8" t="str">
        <f t="shared" si="103"/>
        <v>250027</v>
      </c>
      <c r="B5891" s="8" t="str">
        <f>"2561407010913"</f>
        <v>2561407010913</v>
      </c>
      <c r="C5891" s="8" t="s">
        <v>13</v>
      </c>
      <c r="D5891" s="9">
        <v>55.65</v>
      </c>
      <c r="E5891" s="8">
        <v>85</v>
      </c>
    </row>
    <row r="5892" s="3" customFormat="1" ht="18.75" spans="1:5">
      <c r="A5892" s="8" t="str">
        <f t="shared" si="103"/>
        <v>250027</v>
      </c>
      <c r="B5892" s="8" t="str">
        <f>"2561407010406"</f>
        <v>2561407010406</v>
      </c>
      <c r="C5892" s="8" t="s">
        <v>13</v>
      </c>
      <c r="D5892" s="9">
        <v>55.63</v>
      </c>
      <c r="E5892" s="8">
        <v>86</v>
      </c>
    </row>
    <row r="5893" s="3" customFormat="1" ht="18.75" spans="1:5">
      <c r="A5893" s="8" t="str">
        <f t="shared" si="103"/>
        <v>250027</v>
      </c>
      <c r="B5893" s="8" t="str">
        <f>"2561407010310"</f>
        <v>2561407010310</v>
      </c>
      <c r="C5893" s="8" t="s">
        <v>13</v>
      </c>
      <c r="D5893" s="9">
        <v>55.46</v>
      </c>
      <c r="E5893" s="8">
        <v>87</v>
      </c>
    </row>
    <row r="5894" s="3" customFormat="1" ht="18.75" spans="1:5">
      <c r="A5894" s="8" t="str">
        <f t="shared" si="103"/>
        <v>250027</v>
      </c>
      <c r="B5894" s="8" t="str">
        <f>"2561407010719"</f>
        <v>2561407010719</v>
      </c>
      <c r="C5894" s="8" t="s">
        <v>13</v>
      </c>
      <c r="D5894" s="9">
        <v>55.34</v>
      </c>
      <c r="E5894" s="8">
        <v>88</v>
      </c>
    </row>
    <row r="5895" s="3" customFormat="1" ht="18.75" spans="1:5">
      <c r="A5895" s="8" t="str">
        <f t="shared" si="103"/>
        <v>250027</v>
      </c>
      <c r="B5895" s="8" t="str">
        <f>"2561407010224"</f>
        <v>2561407010224</v>
      </c>
      <c r="C5895" s="8" t="s">
        <v>13</v>
      </c>
      <c r="D5895" s="9">
        <v>55.28</v>
      </c>
      <c r="E5895" s="8">
        <v>89</v>
      </c>
    </row>
    <row r="5896" s="3" customFormat="1" ht="18.75" spans="1:5">
      <c r="A5896" s="8" t="str">
        <f t="shared" si="103"/>
        <v>250027</v>
      </c>
      <c r="B5896" s="8" t="str">
        <f>"2561407010810"</f>
        <v>2561407010810</v>
      </c>
      <c r="C5896" s="8" t="s">
        <v>13</v>
      </c>
      <c r="D5896" s="9">
        <v>55.15</v>
      </c>
      <c r="E5896" s="8">
        <v>90</v>
      </c>
    </row>
    <row r="5897" s="3" customFormat="1" ht="18.75" spans="1:5">
      <c r="A5897" s="8" t="str">
        <f t="shared" si="103"/>
        <v>250027</v>
      </c>
      <c r="B5897" s="8" t="str">
        <f>"2561407011108"</f>
        <v>2561407011108</v>
      </c>
      <c r="C5897" s="8" t="s">
        <v>13</v>
      </c>
      <c r="D5897" s="9">
        <v>55.07</v>
      </c>
      <c r="E5897" s="8">
        <v>91</v>
      </c>
    </row>
    <row r="5898" s="3" customFormat="1" ht="18.75" spans="1:5">
      <c r="A5898" s="8" t="str">
        <f t="shared" si="103"/>
        <v>250027</v>
      </c>
      <c r="B5898" s="8" t="str">
        <f>"2561407011111"</f>
        <v>2561407011111</v>
      </c>
      <c r="C5898" s="8" t="s">
        <v>13</v>
      </c>
      <c r="D5898" s="9">
        <v>55.04</v>
      </c>
      <c r="E5898" s="8">
        <v>92</v>
      </c>
    </row>
    <row r="5899" s="3" customFormat="1" ht="18.75" spans="1:5">
      <c r="A5899" s="8" t="str">
        <f t="shared" si="103"/>
        <v>250027</v>
      </c>
      <c r="B5899" s="8" t="str">
        <f>"2561407010507"</f>
        <v>2561407010507</v>
      </c>
      <c r="C5899" s="8" t="s">
        <v>13</v>
      </c>
      <c r="D5899" s="9">
        <v>54.96</v>
      </c>
      <c r="E5899" s="8">
        <v>93</v>
      </c>
    </row>
    <row r="5900" s="3" customFormat="1" ht="18.75" spans="1:5">
      <c r="A5900" s="8" t="str">
        <f t="shared" si="103"/>
        <v>250027</v>
      </c>
      <c r="B5900" s="8" t="str">
        <f>"2561407010619"</f>
        <v>2561407010619</v>
      </c>
      <c r="C5900" s="8" t="s">
        <v>13</v>
      </c>
      <c r="D5900" s="9">
        <v>54.96</v>
      </c>
      <c r="E5900" s="8">
        <v>93</v>
      </c>
    </row>
    <row r="5901" s="3" customFormat="1" ht="18.75" spans="1:5">
      <c r="A5901" s="8" t="str">
        <f t="shared" si="103"/>
        <v>250027</v>
      </c>
      <c r="B5901" s="8" t="str">
        <f>"2561407010620"</f>
        <v>2561407010620</v>
      </c>
      <c r="C5901" s="8" t="s">
        <v>13</v>
      </c>
      <c r="D5901" s="9">
        <v>54.84</v>
      </c>
      <c r="E5901" s="8">
        <v>95</v>
      </c>
    </row>
    <row r="5902" s="3" customFormat="1" ht="18.75" spans="1:5">
      <c r="A5902" s="8" t="str">
        <f t="shared" si="103"/>
        <v>250027</v>
      </c>
      <c r="B5902" s="8" t="str">
        <f>"2561407010820"</f>
        <v>2561407010820</v>
      </c>
      <c r="C5902" s="8" t="s">
        <v>13</v>
      </c>
      <c r="D5902" s="9">
        <v>54.78</v>
      </c>
      <c r="E5902" s="8">
        <v>96</v>
      </c>
    </row>
    <row r="5903" s="3" customFormat="1" ht="18.75" spans="1:5">
      <c r="A5903" s="8" t="str">
        <f t="shared" si="103"/>
        <v>250027</v>
      </c>
      <c r="B5903" s="8" t="str">
        <f>"2561407010128"</f>
        <v>2561407010128</v>
      </c>
      <c r="C5903" s="8" t="s">
        <v>13</v>
      </c>
      <c r="D5903" s="9">
        <v>54.7</v>
      </c>
      <c r="E5903" s="8">
        <v>97</v>
      </c>
    </row>
    <row r="5904" s="3" customFormat="1" ht="18.75" spans="1:5">
      <c r="A5904" s="8" t="str">
        <f t="shared" si="103"/>
        <v>250027</v>
      </c>
      <c r="B5904" s="8" t="str">
        <f>"2561407010318"</f>
        <v>2561407010318</v>
      </c>
      <c r="C5904" s="8" t="s">
        <v>13</v>
      </c>
      <c r="D5904" s="9">
        <v>54.66</v>
      </c>
      <c r="E5904" s="8">
        <v>98</v>
      </c>
    </row>
    <row r="5905" s="3" customFormat="1" ht="18.75" spans="1:5">
      <c r="A5905" s="8" t="str">
        <f t="shared" si="103"/>
        <v>250027</v>
      </c>
      <c r="B5905" s="8" t="str">
        <f>"2561407011106"</f>
        <v>2561407011106</v>
      </c>
      <c r="C5905" s="8" t="s">
        <v>13</v>
      </c>
      <c r="D5905" s="9">
        <v>54.66</v>
      </c>
      <c r="E5905" s="8">
        <v>98</v>
      </c>
    </row>
    <row r="5906" s="3" customFormat="1" ht="18.75" spans="1:5">
      <c r="A5906" s="8" t="str">
        <f t="shared" si="103"/>
        <v>250027</v>
      </c>
      <c r="B5906" s="8" t="str">
        <f>"2561407010210"</f>
        <v>2561407010210</v>
      </c>
      <c r="C5906" s="8" t="s">
        <v>13</v>
      </c>
      <c r="D5906" s="9">
        <v>53.77</v>
      </c>
      <c r="E5906" s="8">
        <v>100</v>
      </c>
    </row>
    <row r="5907" s="3" customFormat="1" ht="18.75" spans="1:5">
      <c r="A5907" s="8" t="str">
        <f t="shared" si="103"/>
        <v>250027</v>
      </c>
      <c r="B5907" s="8" t="str">
        <f>"2561407011103"</f>
        <v>2561407011103</v>
      </c>
      <c r="C5907" s="8" t="s">
        <v>13</v>
      </c>
      <c r="D5907" s="9">
        <v>53.77</v>
      </c>
      <c r="E5907" s="8">
        <v>100</v>
      </c>
    </row>
    <row r="5908" s="3" customFormat="1" ht="18.75" spans="1:5">
      <c r="A5908" s="8" t="str">
        <f t="shared" si="103"/>
        <v>250027</v>
      </c>
      <c r="B5908" s="8" t="str">
        <f>"2561407010603"</f>
        <v>2561407010603</v>
      </c>
      <c r="C5908" s="8" t="s">
        <v>13</v>
      </c>
      <c r="D5908" s="9">
        <v>53.75</v>
      </c>
      <c r="E5908" s="8">
        <v>102</v>
      </c>
    </row>
    <row r="5909" s="3" customFormat="1" ht="18.75" spans="1:5">
      <c r="A5909" s="8" t="str">
        <f t="shared" si="103"/>
        <v>250027</v>
      </c>
      <c r="B5909" s="8" t="str">
        <f>"2561407010706"</f>
        <v>2561407010706</v>
      </c>
      <c r="C5909" s="8" t="s">
        <v>13</v>
      </c>
      <c r="D5909" s="9">
        <v>53.45</v>
      </c>
      <c r="E5909" s="8">
        <v>103</v>
      </c>
    </row>
    <row r="5910" s="3" customFormat="1" ht="18.75" spans="1:5">
      <c r="A5910" s="8" t="str">
        <f t="shared" si="103"/>
        <v>250027</v>
      </c>
      <c r="B5910" s="8" t="str">
        <f>"2561407010529"</f>
        <v>2561407010529</v>
      </c>
      <c r="C5910" s="8" t="s">
        <v>13</v>
      </c>
      <c r="D5910" s="9">
        <v>53.43</v>
      </c>
      <c r="E5910" s="8">
        <v>104</v>
      </c>
    </row>
    <row r="5911" s="3" customFormat="1" ht="18.75" spans="1:5">
      <c r="A5911" s="8" t="str">
        <f t="shared" si="103"/>
        <v>250027</v>
      </c>
      <c r="B5911" s="8" t="str">
        <f>"2561407010329"</f>
        <v>2561407010329</v>
      </c>
      <c r="C5911" s="8" t="s">
        <v>13</v>
      </c>
      <c r="D5911" s="9">
        <v>53.35</v>
      </c>
      <c r="E5911" s="8">
        <v>105</v>
      </c>
    </row>
    <row r="5912" s="3" customFormat="1" ht="18.75" spans="1:5">
      <c r="A5912" s="8" t="str">
        <f t="shared" si="103"/>
        <v>250027</v>
      </c>
      <c r="B5912" s="8" t="str">
        <f>"2561407010526"</f>
        <v>2561407010526</v>
      </c>
      <c r="C5912" s="8" t="s">
        <v>13</v>
      </c>
      <c r="D5912" s="9">
        <v>53.27</v>
      </c>
      <c r="E5912" s="8">
        <v>106</v>
      </c>
    </row>
    <row r="5913" s="3" customFormat="1" ht="18.75" spans="1:5">
      <c r="A5913" s="8" t="str">
        <f t="shared" si="103"/>
        <v>250027</v>
      </c>
      <c r="B5913" s="8" t="str">
        <f>"2561407011011"</f>
        <v>2561407011011</v>
      </c>
      <c r="C5913" s="8" t="s">
        <v>13</v>
      </c>
      <c r="D5913" s="9">
        <v>53.27</v>
      </c>
      <c r="E5913" s="8">
        <v>106</v>
      </c>
    </row>
    <row r="5914" s="3" customFormat="1" ht="18.75" spans="1:5">
      <c r="A5914" s="8" t="str">
        <f t="shared" si="103"/>
        <v>250027</v>
      </c>
      <c r="B5914" s="8" t="str">
        <f>"2561407010428"</f>
        <v>2561407010428</v>
      </c>
      <c r="C5914" s="8" t="s">
        <v>13</v>
      </c>
      <c r="D5914" s="9">
        <v>53.17</v>
      </c>
      <c r="E5914" s="8">
        <v>108</v>
      </c>
    </row>
    <row r="5915" s="3" customFormat="1" ht="18.75" spans="1:5">
      <c r="A5915" s="8" t="str">
        <f t="shared" si="103"/>
        <v>250027</v>
      </c>
      <c r="B5915" s="8" t="str">
        <f>"2561407010417"</f>
        <v>2561407010417</v>
      </c>
      <c r="C5915" s="8" t="s">
        <v>13</v>
      </c>
      <c r="D5915" s="9">
        <v>53.02</v>
      </c>
      <c r="E5915" s="8">
        <v>109</v>
      </c>
    </row>
    <row r="5916" s="3" customFormat="1" ht="18.75" spans="1:5">
      <c r="A5916" s="8" t="str">
        <f t="shared" si="103"/>
        <v>250027</v>
      </c>
      <c r="B5916" s="8" t="str">
        <f>"2561407010630"</f>
        <v>2561407010630</v>
      </c>
      <c r="C5916" s="8" t="s">
        <v>13</v>
      </c>
      <c r="D5916" s="9">
        <v>53.01</v>
      </c>
      <c r="E5916" s="8">
        <v>110</v>
      </c>
    </row>
    <row r="5917" s="3" customFormat="1" ht="18.75" spans="1:5">
      <c r="A5917" s="8" t="str">
        <f t="shared" si="103"/>
        <v>250027</v>
      </c>
      <c r="B5917" s="8" t="str">
        <f>"2561407010227"</f>
        <v>2561407010227</v>
      </c>
      <c r="C5917" s="8" t="s">
        <v>13</v>
      </c>
      <c r="D5917" s="9">
        <v>52.97</v>
      </c>
      <c r="E5917" s="8">
        <v>111</v>
      </c>
    </row>
    <row r="5918" s="3" customFormat="1" ht="18.75" spans="1:5">
      <c r="A5918" s="8" t="str">
        <f t="shared" si="103"/>
        <v>250027</v>
      </c>
      <c r="B5918" s="8" t="str">
        <f>"2561407010709"</f>
        <v>2561407010709</v>
      </c>
      <c r="C5918" s="8" t="s">
        <v>13</v>
      </c>
      <c r="D5918" s="9">
        <v>52.78</v>
      </c>
      <c r="E5918" s="8">
        <v>112</v>
      </c>
    </row>
    <row r="5919" s="3" customFormat="1" ht="18.75" spans="1:5">
      <c r="A5919" s="8" t="str">
        <f t="shared" si="103"/>
        <v>250027</v>
      </c>
      <c r="B5919" s="8" t="str">
        <f>"2561407010802"</f>
        <v>2561407010802</v>
      </c>
      <c r="C5919" s="8" t="s">
        <v>13</v>
      </c>
      <c r="D5919" s="9">
        <v>52.78</v>
      </c>
      <c r="E5919" s="8">
        <v>112</v>
      </c>
    </row>
    <row r="5920" s="3" customFormat="1" ht="18.75" spans="1:5">
      <c r="A5920" s="8" t="str">
        <f t="shared" si="103"/>
        <v>250027</v>
      </c>
      <c r="B5920" s="8" t="str">
        <f>"2561407010722"</f>
        <v>2561407010722</v>
      </c>
      <c r="C5920" s="8" t="s">
        <v>13</v>
      </c>
      <c r="D5920" s="9">
        <v>52.77</v>
      </c>
      <c r="E5920" s="8">
        <v>114</v>
      </c>
    </row>
    <row r="5921" s="3" customFormat="1" ht="18.75" spans="1:5">
      <c r="A5921" s="8" t="str">
        <f t="shared" si="103"/>
        <v>250027</v>
      </c>
      <c r="B5921" s="8" t="str">
        <f>"2561407010120"</f>
        <v>2561407010120</v>
      </c>
      <c r="C5921" s="8" t="s">
        <v>13</v>
      </c>
      <c r="D5921" s="9">
        <v>52.64</v>
      </c>
      <c r="E5921" s="8">
        <v>115</v>
      </c>
    </row>
    <row r="5922" s="3" customFormat="1" ht="18.75" spans="1:5">
      <c r="A5922" s="8" t="str">
        <f t="shared" si="103"/>
        <v>250027</v>
      </c>
      <c r="B5922" s="8" t="str">
        <f>"2561407011030"</f>
        <v>2561407011030</v>
      </c>
      <c r="C5922" s="8" t="s">
        <v>13</v>
      </c>
      <c r="D5922" s="9">
        <v>52.58</v>
      </c>
      <c r="E5922" s="8">
        <v>116</v>
      </c>
    </row>
    <row r="5923" s="3" customFormat="1" ht="18.75" spans="1:5">
      <c r="A5923" s="8" t="str">
        <f t="shared" si="103"/>
        <v>250027</v>
      </c>
      <c r="B5923" s="8" t="str">
        <f>"2561407011008"</f>
        <v>2561407011008</v>
      </c>
      <c r="C5923" s="8" t="s">
        <v>13</v>
      </c>
      <c r="D5923" s="9">
        <v>52.37</v>
      </c>
      <c r="E5923" s="8">
        <v>117</v>
      </c>
    </row>
    <row r="5924" s="3" customFormat="1" ht="18.75" spans="1:5">
      <c r="A5924" s="8" t="str">
        <f t="shared" si="103"/>
        <v>250027</v>
      </c>
      <c r="B5924" s="8" t="str">
        <f>"2561407010805"</f>
        <v>2561407010805</v>
      </c>
      <c r="C5924" s="8" t="s">
        <v>13</v>
      </c>
      <c r="D5924" s="9">
        <v>52.18</v>
      </c>
      <c r="E5924" s="8">
        <v>118</v>
      </c>
    </row>
    <row r="5925" s="3" customFormat="1" ht="18.75" spans="1:5">
      <c r="A5925" s="8" t="str">
        <f t="shared" si="103"/>
        <v>250027</v>
      </c>
      <c r="B5925" s="8" t="str">
        <f>"2561407010613"</f>
        <v>2561407010613</v>
      </c>
      <c r="C5925" s="8" t="s">
        <v>13</v>
      </c>
      <c r="D5925" s="9">
        <v>52.12</v>
      </c>
      <c r="E5925" s="8">
        <v>119</v>
      </c>
    </row>
    <row r="5926" s="3" customFormat="1" ht="18.75" spans="1:5">
      <c r="A5926" s="8" t="str">
        <f t="shared" si="103"/>
        <v>250027</v>
      </c>
      <c r="B5926" s="8" t="str">
        <f>"2561407010927"</f>
        <v>2561407010927</v>
      </c>
      <c r="C5926" s="8" t="s">
        <v>13</v>
      </c>
      <c r="D5926" s="9">
        <v>51.88</v>
      </c>
      <c r="E5926" s="8">
        <v>120</v>
      </c>
    </row>
    <row r="5927" s="3" customFormat="1" ht="18.75" spans="1:5">
      <c r="A5927" s="8" t="str">
        <f t="shared" si="103"/>
        <v>250027</v>
      </c>
      <c r="B5927" s="8" t="str">
        <f>"2561407010204"</f>
        <v>2561407010204</v>
      </c>
      <c r="C5927" s="8" t="s">
        <v>13</v>
      </c>
      <c r="D5927" s="9">
        <v>51.78</v>
      </c>
      <c r="E5927" s="8">
        <v>121</v>
      </c>
    </row>
    <row r="5928" s="3" customFormat="1" ht="18.75" spans="1:5">
      <c r="A5928" s="8" t="str">
        <f t="shared" si="103"/>
        <v>250027</v>
      </c>
      <c r="B5928" s="8" t="str">
        <f>"2561407010605"</f>
        <v>2561407010605</v>
      </c>
      <c r="C5928" s="8" t="s">
        <v>13</v>
      </c>
      <c r="D5928" s="9">
        <v>51.75</v>
      </c>
      <c r="E5928" s="8">
        <v>122</v>
      </c>
    </row>
    <row r="5929" s="3" customFormat="1" ht="18.75" spans="1:5">
      <c r="A5929" s="8" t="str">
        <f t="shared" si="103"/>
        <v>250027</v>
      </c>
      <c r="B5929" s="8" t="str">
        <f>"2561407010621"</f>
        <v>2561407010621</v>
      </c>
      <c r="C5929" s="8" t="s">
        <v>13</v>
      </c>
      <c r="D5929" s="9">
        <v>51.67</v>
      </c>
      <c r="E5929" s="8">
        <v>123</v>
      </c>
    </row>
    <row r="5930" s="3" customFormat="1" ht="18.75" spans="1:5">
      <c r="A5930" s="8" t="str">
        <f t="shared" si="103"/>
        <v>250027</v>
      </c>
      <c r="B5930" s="8" t="str">
        <f>"2561407010201"</f>
        <v>2561407010201</v>
      </c>
      <c r="C5930" s="8" t="s">
        <v>13</v>
      </c>
      <c r="D5930" s="9">
        <v>51.65</v>
      </c>
      <c r="E5930" s="8">
        <v>124</v>
      </c>
    </row>
    <row r="5931" s="3" customFormat="1" ht="18.75" spans="1:5">
      <c r="A5931" s="8" t="str">
        <f t="shared" si="103"/>
        <v>250027</v>
      </c>
      <c r="B5931" s="8" t="str">
        <f>"2561407011105"</f>
        <v>2561407011105</v>
      </c>
      <c r="C5931" s="8" t="s">
        <v>13</v>
      </c>
      <c r="D5931" s="9">
        <v>51.65</v>
      </c>
      <c r="E5931" s="8">
        <v>124</v>
      </c>
    </row>
    <row r="5932" s="3" customFormat="1" ht="18.75" spans="1:5">
      <c r="A5932" s="8" t="str">
        <f t="shared" si="103"/>
        <v>250027</v>
      </c>
      <c r="B5932" s="8" t="str">
        <f>"2561407010919"</f>
        <v>2561407010919</v>
      </c>
      <c r="C5932" s="8" t="s">
        <v>13</v>
      </c>
      <c r="D5932" s="9">
        <v>51.63</v>
      </c>
      <c r="E5932" s="8">
        <v>126</v>
      </c>
    </row>
    <row r="5933" s="3" customFormat="1" ht="18.75" spans="1:5">
      <c r="A5933" s="8" t="str">
        <f t="shared" si="103"/>
        <v>250027</v>
      </c>
      <c r="B5933" s="8" t="str">
        <f>"2561407010528"</f>
        <v>2561407010528</v>
      </c>
      <c r="C5933" s="8" t="s">
        <v>13</v>
      </c>
      <c r="D5933" s="9">
        <v>51.39</v>
      </c>
      <c r="E5933" s="8">
        <v>127</v>
      </c>
    </row>
    <row r="5934" s="3" customFormat="1" ht="18.75" spans="1:5">
      <c r="A5934" s="8" t="str">
        <f t="shared" si="103"/>
        <v>250027</v>
      </c>
      <c r="B5934" s="8" t="str">
        <f>"2561407010825"</f>
        <v>2561407010825</v>
      </c>
      <c r="C5934" s="8" t="s">
        <v>13</v>
      </c>
      <c r="D5934" s="9">
        <v>51.37</v>
      </c>
      <c r="E5934" s="8">
        <v>128</v>
      </c>
    </row>
    <row r="5935" s="3" customFormat="1" ht="18.75" spans="1:5">
      <c r="A5935" s="8" t="str">
        <f t="shared" ref="A5935:A5998" si="104">"250027"</f>
        <v>250027</v>
      </c>
      <c r="B5935" s="8" t="str">
        <f>"2561407010926"</f>
        <v>2561407010926</v>
      </c>
      <c r="C5935" s="8" t="s">
        <v>13</v>
      </c>
      <c r="D5935" s="9">
        <v>51.19</v>
      </c>
      <c r="E5935" s="8">
        <v>129</v>
      </c>
    </row>
    <row r="5936" s="3" customFormat="1" ht="18.75" spans="1:5">
      <c r="A5936" s="8" t="str">
        <f t="shared" si="104"/>
        <v>250027</v>
      </c>
      <c r="B5936" s="8" t="str">
        <f>"2561407010303"</f>
        <v>2561407010303</v>
      </c>
      <c r="C5936" s="8" t="s">
        <v>13</v>
      </c>
      <c r="D5936" s="9">
        <v>51.03</v>
      </c>
      <c r="E5936" s="8">
        <v>130</v>
      </c>
    </row>
    <row r="5937" s="3" customFormat="1" ht="18.75" spans="1:5">
      <c r="A5937" s="8" t="str">
        <f t="shared" si="104"/>
        <v>250027</v>
      </c>
      <c r="B5937" s="8" t="str">
        <f>"2561407011123"</f>
        <v>2561407011123</v>
      </c>
      <c r="C5937" s="8" t="s">
        <v>13</v>
      </c>
      <c r="D5937" s="9">
        <v>51.02</v>
      </c>
      <c r="E5937" s="8">
        <v>131</v>
      </c>
    </row>
    <row r="5938" s="3" customFormat="1" ht="18.75" spans="1:5">
      <c r="A5938" s="8" t="str">
        <f t="shared" si="104"/>
        <v>250027</v>
      </c>
      <c r="B5938" s="8" t="str">
        <f>"2561407011110"</f>
        <v>2561407011110</v>
      </c>
      <c r="C5938" s="8" t="s">
        <v>13</v>
      </c>
      <c r="D5938" s="9">
        <v>50.83</v>
      </c>
      <c r="E5938" s="8">
        <v>132</v>
      </c>
    </row>
    <row r="5939" s="3" customFormat="1" ht="18.75" spans="1:5">
      <c r="A5939" s="8" t="str">
        <f t="shared" si="104"/>
        <v>250027</v>
      </c>
      <c r="B5939" s="8" t="str">
        <f>"2561407010502"</f>
        <v>2561407010502</v>
      </c>
      <c r="C5939" s="8" t="s">
        <v>13</v>
      </c>
      <c r="D5939" s="9">
        <v>50.66</v>
      </c>
      <c r="E5939" s="8">
        <v>133</v>
      </c>
    </row>
    <row r="5940" s="3" customFormat="1" ht="18.75" spans="1:5">
      <c r="A5940" s="8" t="str">
        <f t="shared" si="104"/>
        <v>250027</v>
      </c>
      <c r="B5940" s="8" t="str">
        <f>"2561407010830"</f>
        <v>2561407010830</v>
      </c>
      <c r="C5940" s="8" t="s">
        <v>13</v>
      </c>
      <c r="D5940" s="9">
        <v>50.65</v>
      </c>
      <c r="E5940" s="8">
        <v>134</v>
      </c>
    </row>
    <row r="5941" s="3" customFormat="1" ht="18.75" spans="1:5">
      <c r="A5941" s="8" t="str">
        <f t="shared" si="104"/>
        <v>250027</v>
      </c>
      <c r="B5941" s="8" t="str">
        <f>"2561407011205"</f>
        <v>2561407011205</v>
      </c>
      <c r="C5941" s="8" t="s">
        <v>13</v>
      </c>
      <c r="D5941" s="9">
        <v>50.65</v>
      </c>
      <c r="E5941" s="8">
        <v>134</v>
      </c>
    </row>
    <row r="5942" s="3" customFormat="1" ht="18.75" spans="1:5">
      <c r="A5942" s="8" t="str">
        <f t="shared" si="104"/>
        <v>250027</v>
      </c>
      <c r="B5942" s="8" t="str">
        <f>"2561407010518"</f>
        <v>2561407010518</v>
      </c>
      <c r="C5942" s="8" t="s">
        <v>13</v>
      </c>
      <c r="D5942" s="9">
        <v>50.63</v>
      </c>
      <c r="E5942" s="8">
        <v>136</v>
      </c>
    </row>
    <row r="5943" s="3" customFormat="1" ht="18.75" spans="1:5">
      <c r="A5943" s="8" t="str">
        <f t="shared" si="104"/>
        <v>250027</v>
      </c>
      <c r="B5943" s="8" t="str">
        <f>"2561407010427"</f>
        <v>2561407010427</v>
      </c>
      <c r="C5943" s="8" t="s">
        <v>13</v>
      </c>
      <c r="D5943" s="9">
        <v>50.59</v>
      </c>
      <c r="E5943" s="8">
        <v>137</v>
      </c>
    </row>
    <row r="5944" s="3" customFormat="1" ht="18.75" spans="1:5">
      <c r="A5944" s="8" t="str">
        <f t="shared" si="104"/>
        <v>250027</v>
      </c>
      <c r="B5944" s="8" t="str">
        <f>"2561407010928"</f>
        <v>2561407010928</v>
      </c>
      <c r="C5944" s="8" t="s">
        <v>13</v>
      </c>
      <c r="D5944" s="9">
        <v>50.57</v>
      </c>
      <c r="E5944" s="8">
        <v>138</v>
      </c>
    </row>
    <row r="5945" s="3" customFormat="1" ht="18.75" spans="1:5">
      <c r="A5945" s="8" t="str">
        <f t="shared" si="104"/>
        <v>250027</v>
      </c>
      <c r="B5945" s="8" t="str">
        <f>"2561407010314"</f>
        <v>2561407010314</v>
      </c>
      <c r="C5945" s="8" t="s">
        <v>13</v>
      </c>
      <c r="D5945" s="9">
        <v>50.46</v>
      </c>
      <c r="E5945" s="8">
        <v>139</v>
      </c>
    </row>
    <row r="5946" s="3" customFormat="1" ht="18.75" spans="1:5">
      <c r="A5946" s="8" t="str">
        <f t="shared" si="104"/>
        <v>250027</v>
      </c>
      <c r="B5946" s="8" t="str">
        <f>"2561407010827"</f>
        <v>2561407010827</v>
      </c>
      <c r="C5946" s="8" t="s">
        <v>13</v>
      </c>
      <c r="D5946" s="9">
        <v>50.45</v>
      </c>
      <c r="E5946" s="8">
        <v>140</v>
      </c>
    </row>
    <row r="5947" s="3" customFormat="1" ht="18.75" spans="1:5">
      <c r="A5947" s="8" t="str">
        <f t="shared" si="104"/>
        <v>250027</v>
      </c>
      <c r="B5947" s="8" t="str">
        <f>"2561407011120"</f>
        <v>2561407011120</v>
      </c>
      <c r="C5947" s="8" t="s">
        <v>13</v>
      </c>
      <c r="D5947" s="9">
        <v>50.42</v>
      </c>
      <c r="E5947" s="8">
        <v>141</v>
      </c>
    </row>
    <row r="5948" s="3" customFormat="1" ht="18.75" spans="1:5">
      <c r="A5948" s="8" t="str">
        <f t="shared" si="104"/>
        <v>250027</v>
      </c>
      <c r="B5948" s="8" t="str">
        <f>"2561407011206"</f>
        <v>2561407011206</v>
      </c>
      <c r="C5948" s="8" t="s">
        <v>13</v>
      </c>
      <c r="D5948" s="9">
        <v>50.25</v>
      </c>
      <c r="E5948" s="8">
        <v>142</v>
      </c>
    </row>
    <row r="5949" s="3" customFormat="1" ht="18.75" spans="1:5">
      <c r="A5949" s="8" t="str">
        <f t="shared" si="104"/>
        <v>250027</v>
      </c>
      <c r="B5949" s="8" t="str">
        <f>"2561407011121"</f>
        <v>2561407011121</v>
      </c>
      <c r="C5949" s="8" t="s">
        <v>13</v>
      </c>
      <c r="D5949" s="9">
        <v>49.7</v>
      </c>
      <c r="E5949" s="8">
        <v>143</v>
      </c>
    </row>
    <row r="5950" s="3" customFormat="1" ht="18.75" spans="1:5">
      <c r="A5950" s="8" t="str">
        <f t="shared" si="104"/>
        <v>250027</v>
      </c>
      <c r="B5950" s="8" t="str">
        <f>"2561407011109"</f>
        <v>2561407011109</v>
      </c>
      <c r="C5950" s="8" t="s">
        <v>13</v>
      </c>
      <c r="D5950" s="9">
        <v>49.55</v>
      </c>
      <c r="E5950" s="8">
        <v>144</v>
      </c>
    </row>
    <row r="5951" s="3" customFormat="1" ht="18.75" spans="1:5">
      <c r="A5951" s="8" t="str">
        <f t="shared" si="104"/>
        <v>250027</v>
      </c>
      <c r="B5951" s="8" t="str">
        <f>"2561407010124"</f>
        <v>2561407010124</v>
      </c>
      <c r="C5951" s="8" t="s">
        <v>13</v>
      </c>
      <c r="D5951" s="9">
        <v>49.47</v>
      </c>
      <c r="E5951" s="8">
        <v>145</v>
      </c>
    </row>
    <row r="5952" s="3" customFormat="1" ht="18.75" spans="1:5">
      <c r="A5952" s="8" t="str">
        <f t="shared" si="104"/>
        <v>250027</v>
      </c>
      <c r="B5952" s="8" t="str">
        <f>"2561407010307"</f>
        <v>2561407010307</v>
      </c>
      <c r="C5952" s="8" t="s">
        <v>13</v>
      </c>
      <c r="D5952" s="9">
        <v>49.41</v>
      </c>
      <c r="E5952" s="8">
        <v>146</v>
      </c>
    </row>
    <row r="5953" s="3" customFormat="1" ht="18.75" spans="1:5">
      <c r="A5953" s="8" t="str">
        <f t="shared" si="104"/>
        <v>250027</v>
      </c>
      <c r="B5953" s="8" t="str">
        <f>"2561407010607"</f>
        <v>2561407010607</v>
      </c>
      <c r="C5953" s="8" t="s">
        <v>13</v>
      </c>
      <c r="D5953" s="9">
        <v>49.36</v>
      </c>
      <c r="E5953" s="8">
        <v>147</v>
      </c>
    </row>
    <row r="5954" s="3" customFormat="1" ht="18.75" spans="1:5">
      <c r="A5954" s="8" t="str">
        <f t="shared" si="104"/>
        <v>250027</v>
      </c>
      <c r="B5954" s="8" t="str">
        <f>"2561407010228"</f>
        <v>2561407010228</v>
      </c>
      <c r="C5954" s="8" t="s">
        <v>13</v>
      </c>
      <c r="D5954" s="9">
        <v>49.18</v>
      </c>
      <c r="E5954" s="8">
        <v>148</v>
      </c>
    </row>
    <row r="5955" s="3" customFormat="1" ht="18.75" spans="1:5">
      <c r="A5955" s="8" t="str">
        <f t="shared" si="104"/>
        <v>250027</v>
      </c>
      <c r="B5955" s="8" t="str">
        <f>"2561407010925"</f>
        <v>2561407010925</v>
      </c>
      <c r="C5955" s="8" t="s">
        <v>13</v>
      </c>
      <c r="D5955" s="9">
        <v>48.9</v>
      </c>
      <c r="E5955" s="8">
        <v>149</v>
      </c>
    </row>
    <row r="5956" s="3" customFormat="1" ht="18.75" spans="1:5">
      <c r="A5956" s="8" t="str">
        <f t="shared" si="104"/>
        <v>250027</v>
      </c>
      <c r="B5956" s="8" t="str">
        <f>"2561407010208"</f>
        <v>2561407010208</v>
      </c>
      <c r="C5956" s="8" t="s">
        <v>13</v>
      </c>
      <c r="D5956" s="9">
        <v>48.62</v>
      </c>
      <c r="E5956" s="8">
        <v>150</v>
      </c>
    </row>
    <row r="5957" s="3" customFormat="1" ht="18.75" spans="1:5">
      <c r="A5957" s="8" t="str">
        <f t="shared" si="104"/>
        <v>250027</v>
      </c>
      <c r="B5957" s="8" t="str">
        <f>"2561407010923"</f>
        <v>2561407010923</v>
      </c>
      <c r="C5957" s="8" t="s">
        <v>13</v>
      </c>
      <c r="D5957" s="9">
        <v>48.56</v>
      </c>
      <c r="E5957" s="8">
        <v>151</v>
      </c>
    </row>
    <row r="5958" s="3" customFormat="1" ht="18.75" spans="1:5">
      <c r="A5958" s="8" t="str">
        <f t="shared" si="104"/>
        <v>250027</v>
      </c>
      <c r="B5958" s="8" t="str">
        <f>"2561407010804"</f>
        <v>2561407010804</v>
      </c>
      <c r="C5958" s="8" t="s">
        <v>13</v>
      </c>
      <c r="D5958" s="9">
        <v>47.89</v>
      </c>
      <c r="E5958" s="8">
        <v>152</v>
      </c>
    </row>
    <row r="5959" s="3" customFormat="1" ht="18.75" spans="1:5">
      <c r="A5959" s="8" t="str">
        <f t="shared" si="104"/>
        <v>250027</v>
      </c>
      <c r="B5959" s="8" t="str">
        <f>"2561407010728"</f>
        <v>2561407010728</v>
      </c>
      <c r="C5959" s="8" t="s">
        <v>13</v>
      </c>
      <c r="D5959" s="9">
        <v>47.78</v>
      </c>
      <c r="E5959" s="8">
        <v>153</v>
      </c>
    </row>
    <row r="5960" s="3" customFormat="1" ht="18.75" spans="1:5">
      <c r="A5960" s="8" t="str">
        <f t="shared" si="104"/>
        <v>250027</v>
      </c>
      <c r="B5960" s="8" t="str">
        <f>"2561407011019"</f>
        <v>2561407011019</v>
      </c>
      <c r="C5960" s="8" t="s">
        <v>13</v>
      </c>
      <c r="D5960" s="9">
        <v>47.71</v>
      </c>
      <c r="E5960" s="8">
        <v>154</v>
      </c>
    </row>
    <row r="5961" s="3" customFormat="1" ht="18.75" spans="1:5">
      <c r="A5961" s="8" t="str">
        <f t="shared" si="104"/>
        <v>250027</v>
      </c>
      <c r="B5961" s="8" t="str">
        <f>"2561407010202"</f>
        <v>2561407010202</v>
      </c>
      <c r="C5961" s="8" t="s">
        <v>13</v>
      </c>
      <c r="D5961" s="9">
        <v>47.56</v>
      </c>
      <c r="E5961" s="8">
        <v>155</v>
      </c>
    </row>
    <row r="5962" s="3" customFormat="1" ht="18.75" spans="1:5">
      <c r="A5962" s="8" t="str">
        <f t="shared" si="104"/>
        <v>250027</v>
      </c>
      <c r="B5962" s="8" t="str">
        <f>"2561407011207"</f>
        <v>2561407011207</v>
      </c>
      <c r="C5962" s="8" t="s">
        <v>13</v>
      </c>
      <c r="D5962" s="9">
        <v>47.48</v>
      </c>
      <c r="E5962" s="8">
        <v>156</v>
      </c>
    </row>
    <row r="5963" s="3" customFormat="1" ht="18.75" spans="1:5">
      <c r="A5963" s="8" t="str">
        <f t="shared" si="104"/>
        <v>250027</v>
      </c>
      <c r="B5963" s="8" t="str">
        <f>"2561407010626"</f>
        <v>2561407010626</v>
      </c>
      <c r="C5963" s="8" t="s">
        <v>13</v>
      </c>
      <c r="D5963" s="9">
        <v>47.44</v>
      </c>
      <c r="E5963" s="8">
        <v>157</v>
      </c>
    </row>
    <row r="5964" s="3" customFormat="1" ht="18.75" spans="1:5">
      <c r="A5964" s="8" t="str">
        <f t="shared" si="104"/>
        <v>250027</v>
      </c>
      <c r="B5964" s="8" t="str">
        <f>"2561407011102"</f>
        <v>2561407011102</v>
      </c>
      <c r="C5964" s="8" t="s">
        <v>13</v>
      </c>
      <c r="D5964" s="9">
        <v>47.34</v>
      </c>
      <c r="E5964" s="8">
        <v>158</v>
      </c>
    </row>
    <row r="5965" s="3" customFormat="1" ht="18.75" spans="1:5">
      <c r="A5965" s="8" t="str">
        <f t="shared" si="104"/>
        <v>250027</v>
      </c>
      <c r="B5965" s="8" t="str">
        <f>"2561407010515"</f>
        <v>2561407010515</v>
      </c>
      <c r="C5965" s="8" t="s">
        <v>13</v>
      </c>
      <c r="D5965" s="9">
        <v>47.21</v>
      </c>
      <c r="E5965" s="8">
        <v>159</v>
      </c>
    </row>
    <row r="5966" s="3" customFormat="1" ht="18.75" spans="1:5">
      <c r="A5966" s="8" t="str">
        <f t="shared" si="104"/>
        <v>250027</v>
      </c>
      <c r="B5966" s="8" t="str">
        <f>"2561407010102"</f>
        <v>2561407010102</v>
      </c>
      <c r="C5966" s="8" t="s">
        <v>13</v>
      </c>
      <c r="D5966" s="9">
        <v>46.7</v>
      </c>
      <c r="E5966" s="8">
        <v>160</v>
      </c>
    </row>
    <row r="5967" s="3" customFormat="1" ht="18.75" spans="1:5">
      <c r="A5967" s="8" t="str">
        <f t="shared" si="104"/>
        <v>250027</v>
      </c>
      <c r="B5967" s="8" t="str">
        <f>"2561407010915"</f>
        <v>2561407010915</v>
      </c>
      <c r="C5967" s="8" t="s">
        <v>13</v>
      </c>
      <c r="D5967" s="9">
        <v>46.45</v>
      </c>
      <c r="E5967" s="8">
        <v>161</v>
      </c>
    </row>
    <row r="5968" s="3" customFormat="1" ht="18.75" spans="1:5">
      <c r="A5968" s="8" t="str">
        <f t="shared" si="104"/>
        <v>250027</v>
      </c>
      <c r="B5968" s="8" t="str">
        <f>"2561407011122"</f>
        <v>2561407011122</v>
      </c>
      <c r="C5968" s="8" t="s">
        <v>13</v>
      </c>
      <c r="D5968" s="9">
        <v>46.36</v>
      </c>
      <c r="E5968" s="8">
        <v>162</v>
      </c>
    </row>
    <row r="5969" s="3" customFormat="1" ht="18.75" spans="1:5">
      <c r="A5969" s="8" t="str">
        <f t="shared" si="104"/>
        <v>250027</v>
      </c>
      <c r="B5969" s="8" t="str">
        <f>"2561407010405"</f>
        <v>2561407010405</v>
      </c>
      <c r="C5969" s="8" t="s">
        <v>13</v>
      </c>
      <c r="D5969" s="9">
        <v>46.3</v>
      </c>
      <c r="E5969" s="8">
        <v>163</v>
      </c>
    </row>
    <row r="5970" s="3" customFormat="1" ht="18.75" spans="1:5">
      <c r="A5970" s="8" t="str">
        <f t="shared" si="104"/>
        <v>250027</v>
      </c>
      <c r="B5970" s="8" t="str">
        <f>"2561407011115"</f>
        <v>2561407011115</v>
      </c>
      <c r="C5970" s="8" t="s">
        <v>13</v>
      </c>
      <c r="D5970" s="9">
        <v>46.22</v>
      </c>
      <c r="E5970" s="8">
        <v>164</v>
      </c>
    </row>
    <row r="5971" s="3" customFormat="1" ht="18.75" spans="1:5">
      <c r="A5971" s="8" t="str">
        <f t="shared" si="104"/>
        <v>250027</v>
      </c>
      <c r="B5971" s="8" t="str">
        <f>"2561407011028"</f>
        <v>2561407011028</v>
      </c>
      <c r="C5971" s="8" t="s">
        <v>13</v>
      </c>
      <c r="D5971" s="9">
        <v>45.88</v>
      </c>
      <c r="E5971" s="8">
        <v>165</v>
      </c>
    </row>
    <row r="5972" s="3" customFormat="1" ht="18.75" spans="1:5">
      <c r="A5972" s="8" t="str">
        <f t="shared" si="104"/>
        <v>250027</v>
      </c>
      <c r="B5972" s="8" t="str">
        <f>"2561407010906"</f>
        <v>2561407010906</v>
      </c>
      <c r="C5972" s="8" t="s">
        <v>13</v>
      </c>
      <c r="D5972" s="9">
        <v>45.75</v>
      </c>
      <c r="E5972" s="8">
        <v>166</v>
      </c>
    </row>
    <row r="5973" s="3" customFormat="1" ht="18.75" spans="1:5">
      <c r="A5973" s="8" t="str">
        <f t="shared" si="104"/>
        <v>250027</v>
      </c>
      <c r="B5973" s="8" t="str">
        <f>"2561407011118"</f>
        <v>2561407011118</v>
      </c>
      <c r="C5973" s="8" t="s">
        <v>13</v>
      </c>
      <c r="D5973" s="9">
        <v>45.21</v>
      </c>
      <c r="E5973" s="8">
        <v>167</v>
      </c>
    </row>
    <row r="5974" s="3" customFormat="1" ht="18.75" spans="1:5">
      <c r="A5974" s="8" t="str">
        <f t="shared" si="104"/>
        <v>250027</v>
      </c>
      <c r="B5974" s="8" t="str">
        <f>"2561407010108"</f>
        <v>2561407010108</v>
      </c>
      <c r="C5974" s="8" t="s">
        <v>13</v>
      </c>
      <c r="D5974" s="9">
        <v>44.81</v>
      </c>
      <c r="E5974" s="8">
        <v>168</v>
      </c>
    </row>
    <row r="5975" s="3" customFormat="1" ht="18.75" spans="1:5">
      <c r="A5975" s="8" t="str">
        <f t="shared" si="104"/>
        <v>250027</v>
      </c>
      <c r="B5975" s="8" t="str">
        <f>"2561407010823"</f>
        <v>2561407010823</v>
      </c>
      <c r="C5975" s="8" t="s">
        <v>13</v>
      </c>
      <c r="D5975" s="9">
        <v>44.8</v>
      </c>
      <c r="E5975" s="8">
        <v>169</v>
      </c>
    </row>
    <row r="5976" s="3" customFormat="1" ht="18.75" spans="1:5">
      <c r="A5976" s="8" t="str">
        <f t="shared" si="104"/>
        <v>250027</v>
      </c>
      <c r="B5976" s="8" t="str">
        <f>"2561407011125"</f>
        <v>2561407011125</v>
      </c>
      <c r="C5976" s="8" t="s">
        <v>13</v>
      </c>
      <c r="D5976" s="9">
        <v>44.33</v>
      </c>
      <c r="E5976" s="8">
        <v>170</v>
      </c>
    </row>
    <row r="5977" s="3" customFormat="1" ht="18.75" spans="1:5">
      <c r="A5977" s="8" t="str">
        <f t="shared" si="104"/>
        <v>250027</v>
      </c>
      <c r="B5977" s="8" t="str">
        <f>"2561407010904"</f>
        <v>2561407010904</v>
      </c>
      <c r="C5977" s="8" t="s">
        <v>13</v>
      </c>
      <c r="D5977" s="9">
        <v>43.9</v>
      </c>
      <c r="E5977" s="8">
        <v>171</v>
      </c>
    </row>
    <row r="5978" s="3" customFormat="1" ht="18.75" spans="1:5">
      <c r="A5978" s="8" t="str">
        <f t="shared" si="104"/>
        <v>250027</v>
      </c>
      <c r="B5978" s="8" t="str">
        <f>"2561407011024"</f>
        <v>2561407011024</v>
      </c>
      <c r="C5978" s="8" t="s">
        <v>13</v>
      </c>
      <c r="D5978" s="9">
        <v>43.77</v>
      </c>
      <c r="E5978" s="8">
        <v>172</v>
      </c>
    </row>
    <row r="5979" s="3" customFormat="1" ht="18.75" spans="1:5">
      <c r="A5979" s="8" t="str">
        <f t="shared" si="104"/>
        <v>250027</v>
      </c>
      <c r="B5979" s="8" t="str">
        <f>"2561407011114"</f>
        <v>2561407011114</v>
      </c>
      <c r="C5979" s="8" t="s">
        <v>13</v>
      </c>
      <c r="D5979" s="9">
        <v>43.26</v>
      </c>
      <c r="E5979" s="8">
        <v>173</v>
      </c>
    </row>
    <row r="5980" s="3" customFormat="1" ht="18.75" spans="1:5">
      <c r="A5980" s="8" t="str">
        <f t="shared" si="104"/>
        <v>250027</v>
      </c>
      <c r="B5980" s="8" t="str">
        <f>"2561407010429"</f>
        <v>2561407010429</v>
      </c>
      <c r="C5980" s="8" t="s">
        <v>13</v>
      </c>
      <c r="D5980" s="9">
        <v>43.13</v>
      </c>
      <c r="E5980" s="8">
        <v>174</v>
      </c>
    </row>
    <row r="5981" s="3" customFormat="1" ht="18.75" spans="1:5">
      <c r="A5981" s="8" t="str">
        <f t="shared" si="104"/>
        <v>250027</v>
      </c>
      <c r="B5981" s="8" t="str">
        <f>"2561407010420"</f>
        <v>2561407010420</v>
      </c>
      <c r="C5981" s="8" t="s">
        <v>13</v>
      </c>
      <c r="D5981" s="9">
        <v>42.82</v>
      </c>
      <c r="E5981" s="8">
        <v>175</v>
      </c>
    </row>
    <row r="5982" s="3" customFormat="1" ht="18.75" spans="1:5">
      <c r="A5982" s="8" t="str">
        <f t="shared" si="104"/>
        <v>250027</v>
      </c>
      <c r="B5982" s="8" t="str">
        <f>"2561407010614"</f>
        <v>2561407010614</v>
      </c>
      <c r="C5982" s="8" t="s">
        <v>13</v>
      </c>
      <c r="D5982" s="9">
        <v>41.72</v>
      </c>
      <c r="E5982" s="8">
        <v>176</v>
      </c>
    </row>
    <row r="5983" s="3" customFormat="1" ht="18.75" spans="1:5">
      <c r="A5983" s="8" t="str">
        <f t="shared" si="104"/>
        <v>250027</v>
      </c>
      <c r="B5983" s="8" t="str">
        <f>"2561407011130"</f>
        <v>2561407011130</v>
      </c>
      <c r="C5983" s="8" t="s">
        <v>13</v>
      </c>
      <c r="D5983" s="9">
        <v>41.71</v>
      </c>
      <c r="E5983" s="8">
        <v>177</v>
      </c>
    </row>
    <row r="5984" s="3" customFormat="1" ht="18.75" spans="1:5">
      <c r="A5984" s="8" t="str">
        <f t="shared" si="104"/>
        <v>250027</v>
      </c>
      <c r="B5984" s="8" t="str">
        <f>"2561407011203"</f>
        <v>2561407011203</v>
      </c>
      <c r="C5984" s="8" t="s">
        <v>13</v>
      </c>
      <c r="D5984" s="9">
        <v>41.55</v>
      </c>
      <c r="E5984" s="8">
        <v>178</v>
      </c>
    </row>
    <row r="5985" s="3" customFormat="1" ht="18.75" spans="1:5">
      <c r="A5985" s="8" t="str">
        <f t="shared" si="104"/>
        <v>250027</v>
      </c>
      <c r="B5985" s="8" t="str">
        <f>"2561407010824"</f>
        <v>2561407010824</v>
      </c>
      <c r="C5985" s="8" t="s">
        <v>13</v>
      </c>
      <c r="D5985" s="9">
        <v>41.24</v>
      </c>
      <c r="E5985" s="8">
        <v>179</v>
      </c>
    </row>
    <row r="5986" s="3" customFormat="1" ht="18.75" spans="1:5">
      <c r="A5986" s="8" t="str">
        <f t="shared" si="104"/>
        <v>250027</v>
      </c>
      <c r="B5986" s="8" t="str">
        <f>"2561407011029"</f>
        <v>2561407011029</v>
      </c>
      <c r="C5986" s="8" t="s">
        <v>13</v>
      </c>
      <c r="D5986" s="9">
        <v>39.71</v>
      </c>
      <c r="E5986" s="8">
        <v>180</v>
      </c>
    </row>
    <row r="5987" s="3" customFormat="1" ht="18.75" spans="1:5">
      <c r="A5987" s="8" t="str">
        <f t="shared" si="104"/>
        <v>250027</v>
      </c>
      <c r="B5987" s="8" t="str">
        <f>"2561407011101"</f>
        <v>2561407011101</v>
      </c>
      <c r="C5987" s="8" t="s">
        <v>13</v>
      </c>
      <c r="D5987" s="9">
        <v>39.56</v>
      </c>
      <c r="E5987" s="8">
        <v>181</v>
      </c>
    </row>
    <row r="5988" s="3" customFormat="1" ht="18.75" spans="1:5">
      <c r="A5988" s="8" t="str">
        <f t="shared" si="104"/>
        <v>250027</v>
      </c>
      <c r="B5988" s="8" t="str">
        <f>"2561407010316"</f>
        <v>2561407010316</v>
      </c>
      <c r="C5988" s="8" t="s">
        <v>13</v>
      </c>
      <c r="D5988" s="9">
        <v>38.89</v>
      </c>
      <c r="E5988" s="8">
        <v>182</v>
      </c>
    </row>
    <row r="5989" s="3" customFormat="1" ht="18.75" spans="1:5">
      <c r="A5989" s="8" t="str">
        <f t="shared" si="104"/>
        <v>250027</v>
      </c>
      <c r="B5989" s="8" t="str">
        <f>"2561407010209"</f>
        <v>2561407010209</v>
      </c>
      <c r="C5989" s="8" t="s">
        <v>13</v>
      </c>
      <c r="D5989" s="9">
        <v>38.42</v>
      </c>
      <c r="E5989" s="8">
        <v>183</v>
      </c>
    </row>
    <row r="5990" s="3" customFormat="1" ht="18.75" spans="1:5">
      <c r="A5990" s="8" t="str">
        <f t="shared" si="104"/>
        <v>250027</v>
      </c>
      <c r="B5990" s="8" t="str">
        <f>"2561407010627"</f>
        <v>2561407010627</v>
      </c>
      <c r="C5990" s="8" t="s">
        <v>13</v>
      </c>
      <c r="D5990" s="9">
        <v>37.99</v>
      </c>
      <c r="E5990" s="8">
        <v>184</v>
      </c>
    </row>
    <row r="5991" s="3" customFormat="1" ht="18.75" spans="1:5">
      <c r="A5991" s="8" t="str">
        <f t="shared" si="104"/>
        <v>250027</v>
      </c>
      <c r="B5991" s="8" t="str">
        <f>"2561407010410"</f>
        <v>2561407010410</v>
      </c>
      <c r="C5991" s="8" t="s">
        <v>13</v>
      </c>
      <c r="D5991" s="9">
        <v>26.85</v>
      </c>
      <c r="E5991" s="8">
        <v>185</v>
      </c>
    </row>
    <row r="5992" s="3" customFormat="1" ht="18.75" spans="1:5">
      <c r="A5992" s="8" t="str">
        <f t="shared" si="104"/>
        <v>250027</v>
      </c>
      <c r="B5992" s="8" t="str">
        <f>"2561407010711"</f>
        <v>2561407010711</v>
      </c>
      <c r="C5992" s="8" t="s">
        <v>13</v>
      </c>
      <c r="D5992" s="9">
        <v>25.92</v>
      </c>
      <c r="E5992" s="8">
        <v>186</v>
      </c>
    </row>
    <row r="5993" s="3" customFormat="1" ht="18.75" spans="1:5">
      <c r="A5993" s="8" t="str">
        <f t="shared" si="104"/>
        <v>250027</v>
      </c>
      <c r="B5993" s="8" t="str">
        <f>"2561407010230"</f>
        <v>2561407010230</v>
      </c>
      <c r="C5993" s="8" t="s">
        <v>13</v>
      </c>
      <c r="D5993" s="9">
        <v>16.7</v>
      </c>
      <c r="E5993" s="8">
        <v>187</v>
      </c>
    </row>
    <row r="5994" s="3" customFormat="1" ht="18.75" spans="1:5">
      <c r="A5994" s="8" t="str">
        <f t="shared" si="104"/>
        <v>250027</v>
      </c>
      <c r="B5994" s="8" t="str">
        <f>"2561407010101"</f>
        <v>2561407010101</v>
      </c>
      <c r="C5994" s="8" t="s">
        <v>13</v>
      </c>
      <c r="D5994" s="9">
        <v>0</v>
      </c>
      <c r="E5994" s="8">
        <v>188</v>
      </c>
    </row>
    <row r="5995" s="3" customFormat="1" ht="18.75" spans="1:5">
      <c r="A5995" s="8" t="str">
        <f t="shared" si="104"/>
        <v>250027</v>
      </c>
      <c r="B5995" s="8" t="str">
        <f>"2561407010106"</f>
        <v>2561407010106</v>
      </c>
      <c r="C5995" s="8" t="s">
        <v>13</v>
      </c>
      <c r="D5995" s="9">
        <v>0</v>
      </c>
      <c r="E5995" s="8">
        <v>188</v>
      </c>
    </row>
    <row r="5996" s="3" customFormat="1" ht="18.75" spans="1:5">
      <c r="A5996" s="8" t="str">
        <f t="shared" si="104"/>
        <v>250027</v>
      </c>
      <c r="B5996" s="8" t="str">
        <f>"2561407010107"</f>
        <v>2561407010107</v>
      </c>
      <c r="C5996" s="8" t="s">
        <v>13</v>
      </c>
      <c r="D5996" s="9">
        <v>0</v>
      </c>
      <c r="E5996" s="8">
        <v>188</v>
      </c>
    </row>
    <row r="5997" s="3" customFormat="1" ht="18.75" spans="1:5">
      <c r="A5997" s="8" t="str">
        <f t="shared" si="104"/>
        <v>250027</v>
      </c>
      <c r="B5997" s="8" t="str">
        <f>"2561407010111"</f>
        <v>2561407010111</v>
      </c>
      <c r="C5997" s="8" t="s">
        <v>13</v>
      </c>
      <c r="D5997" s="9">
        <v>0</v>
      </c>
      <c r="E5997" s="8">
        <v>188</v>
      </c>
    </row>
    <row r="5998" s="3" customFormat="1" ht="18.75" spans="1:5">
      <c r="A5998" s="8" t="str">
        <f t="shared" si="104"/>
        <v>250027</v>
      </c>
      <c r="B5998" s="8" t="str">
        <f>"2561407010113"</f>
        <v>2561407010113</v>
      </c>
      <c r="C5998" s="8" t="s">
        <v>13</v>
      </c>
      <c r="D5998" s="9">
        <v>0</v>
      </c>
      <c r="E5998" s="8">
        <v>188</v>
      </c>
    </row>
    <row r="5999" s="3" customFormat="1" ht="18.75" spans="1:5">
      <c r="A5999" s="8" t="str">
        <f t="shared" ref="A5999:A6062" si="105">"250027"</f>
        <v>250027</v>
      </c>
      <c r="B5999" s="8" t="str">
        <f>"2561407010114"</f>
        <v>2561407010114</v>
      </c>
      <c r="C5999" s="8" t="s">
        <v>13</v>
      </c>
      <c r="D5999" s="9">
        <v>0</v>
      </c>
      <c r="E5999" s="8">
        <v>188</v>
      </c>
    </row>
    <row r="6000" s="3" customFormat="1" ht="18.75" spans="1:5">
      <c r="A6000" s="8" t="str">
        <f t="shared" si="105"/>
        <v>250027</v>
      </c>
      <c r="B6000" s="8" t="str">
        <f>"2561407010115"</f>
        <v>2561407010115</v>
      </c>
      <c r="C6000" s="8" t="s">
        <v>13</v>
      </c>
      <c r="D6000" s="9">
        <v>0</v>
      </c>
      <c r="E6000" s="8">
        <v>188</v>
      </c>
    </row>
    <row r="6001" s="3" customFormat="1" ht="18.75" spans="1:5">
      <c r="A6001" s="8" t="str">
        <f t="shared" si="105"/>
        <v>250027</v>
      </c>
      <c r="B6001" s="8" t="str">
        <f>"2561407010116"</f>
        <v>2561407010116</v>
      </c>
      <c r="C6001" s="8" t="s">
        <v>13</v>
      </c>
      <c r="D6001" s="9">
        <v>0</v>
      </c>
      <c r="E6001" s="8">
        <v>188</v>
      </c>
    </row>
    <row r="6002" s="3" customFormat="1" ht="18.75" spans="1:5">
      <c r="A6002" s="8" t="str">
        <f t="shared" si="105"/>
        <v>250027</v>
      </c>
      <c r="B6002" s="8" t="str">
        <f>"2561407010118"</f>
        <v>2561407010118</v>
      </c>
      <c r="C6002" s="8" t="s">
        <v>13</v>
      </c>
      <c r="D6002" s="9">
        <v>0</v>
      </c>
      <c r="E6002" s="8">
        <v>188</v>
      </c>
    </row>
    <row r="6003" s="3" customFormat="1" ht="18.75" spans="1:5">
      <c r="A6003" s="8" t="str">
        <f t="shared" si="105"/>
        <v>250027</v>
      </c>
      <c r="B6003" s="8" t="str">
        <f>"2561407010119"</f>
        <v>2561407010119</v>
      </c>
      <c r="C6003" s="8" t="s">
        <v>13</v>
      </c>
      <c r="D6003" s="9">
        <v>0</v>
      </c>
      <c r="E6003" s="8">
        <v>188</v>
      </c>
    </row>
    <row r="6004" s="3" customFormat="1" ht="18.75" spans="1:5">
      <c r="A6004" s="8" t="str">
        <f t="shared" si="105"/>
        <v>250027</v>
      </c>
      <c r="B6004" s="8" t="str">
        <f>"2561407010121"</f>
        <v>2561407010121</v>
      </c>
      <c r="C6004" s="8" t="s">
        <v>13</v>
      </c>
      <c r="D6004" s="9">
        <v>0</v>
      </c>
      <c r="E6004" s="8">
        <v>188</v>
      </c>
    </row>
    <row r="6005" s="3" customFormat="1" ht="18.75" spans="1:5">
      <c r="A6005" s="8" t="str">
        <f t="shared" si="105"/>
        <v>250027</v>
      </c>
      <c r="B6005" s="8" t="str">
        <f>"2561407010122"</f>
        <v>2561407010122</v>
      </c>
      <c r="C6005" s="8" t="s">
        <v>13</v>
      </c>
      <c r="D6005" s="9">
        <v>0</v>
      </c>
      <c r="E6005" s="8">
        <v>188</v>
      </c>
    </row>
    <row r="6006" s="3" customFormat="1" ht="18.75" spans="1:5">
      <c r="A6006" s="8" t="str">
        <f t="shared" si="105"/>
        <v>250027</v>
      </c>
      <c r="B6006" s="8" t="str">
        <f>"2561407010123"</f>
        <v>2561407010123</v>
      </c>
      <c r="C6006" s="8" t="s">
        <v>13</v>
      </c>
      <c r="D6006" s="9">
        <v>0</v>
      </c>
      <c r="E6006" s="8">
        <v>188</v>
      </c>
    </row>
    <row r="6007" s="3" customFormat="1" ht="18.75" spans="1:5">
      <c r="A6007" s="8" t="str">
        <f t="shared" si="105"/>
        <v>250027</v>
      </c>
      <c r="B6007" s="8" t="str">
        <f>"2561407010125"</f>
        <v>2561407010125</v>
      </c>
      <c r="C6007" s="8" t="s">
        <v>13</v>
      </c>
      <c r="D6007" s="9">
        <v>0</v>
      </c>
      <c r="E6007" s="8">
        <v>188</v>
      </c>
    </row>
    <row r="6008" s="3" customFormat="1" ht="18.75" spans="1:5">
      <c r="A6008" s="8" t="str">
        <f t="shared" si="105"/>
        <v>250027</v>
      </c>
      <c r="B6008" s="8" t="str">
        <f>"2561407010126"</f>
        <v>2561407010126</v>
      </c>
      <c r="C6008" s="8" t="s">
        <v>13</v>
      </c>
      <c r="D6008" s="9">
        <v>0</v>
      </c>
      <c r="E6008" s="8">
        <v>188</v>
      </c>
    </row>
    <row r="6009" s="3" customFormat="1" ht="18.75" spans="1:5">
      <c r="A6009" s="8" t="str">
        <f t="shared" si="105"/>
        <v>250027</v>
      </c>
      <c r="B6009" s="8" t="str">
        <f>"2561407010127"</f>
        <v>2561407010127</v>
      </c>
      <c r="C6009" s="8" t="s">
        <v>13</v>
      </c>
      <c r="D6009" s="9">
        <v>0</v>
      </c>
      <c r="E6009" s="8">
        <v>188</v>
      </c>
    </row>
    <row r="6010" s="3" customFormat="1" ht="18.75" spans="1:5">
      <c r="A6010" s="8" t="str">
        <f t="shared" si="105"/>
        <v>250027</v>
      </c>
      <c r="B6010" s="8" t="str">
        <f>"2561407010129"</f>
        <v>2561407010129</v>
      </c>
      <c r="C6010" s="8" t="s">
        <v>13</v>
      </c>
      <c r="D6010" s="9">
        <v>0</v>
      </c>
      <c r="E6010" s="8">
        <v>188</v>
      </c>
    </row>
    <row r="6011" s="3" customFormat="1" ht="18.75" spans="1:5">
      <c r="A6011" s="8" t="str">
        <f t="shared" si="105"/>
        <v>250027</v>
      </c>
      <c r="B6011" s="8" t="str">
        <f>"2561407010203"</f>
        <v>2561407010203</v>
      </c>
      <c r="C6011" s="8" t="s">
        <v>13</v>
      </c>
      <c r="D6011" s="9">
        <v>0</v>
      </c>
      <c r="E6011" s="8">
        <v>188</v>
      </c>
    </row>
    <row r="6012" s="3" customFormat="1" ht="18.75" spans="1:5">
      <c r="A6012" s="8" t="str">
        <f t="shared" si="105"/>
        <v>250027</v>
      </c>
      <c r="B6012" s="8" t="str">
        <f>"2561407010205"</f>
        <v>2561407010205</v>
      </c>
      <c r="C6012" s="8" t="s">
        <v>13</v>
      </c>
      <c r="D6012" s="9">
        <v>0</v>
      </c>
      <c r="E6012" s="8">
        <v>188</v>
      </c>
    </row>
    <row r="6013" s="3" customFormat="1" ht="18.75" spans="1:5">
      <c r="A6013" s="8" t="str">
        <f t="shared" si="105"/>
        <v>250027</v>
      </c>
      <c r="B6013" s="8" t="str">
        <f>"2561407010207"</f>
        <v>2561407010207</v>
      </c>
      <c r="C6013" s="8" t="s">
        <v>13</v>
      </c>
      <c r="D6013" s="9">
        <v>0</v>
      </c>
      <c r="E6013" s="8">
        <v>188</v>
      </c>
    </row>
    <row r="6014" s="3" customFormat="1" ht="18.75" spans="1:5">
      <c r="A6014" s="8" t="str">
        <f t="shared" si="105"/>
        <v>250027</v>
      </c>
      <c r="B6014" s="8" t="str">
        <f>"2561407010211"</f>
        <v>2561407010211</v>
      </c>
      <c r="C6014" s="8" t="s">
        <v>13</v>
      </c>
      <c r="D6014" s="9">
        <v>0</v>
      </c>
      <c r="E6014" s="8">
        <v>188</v>
      </c>
    </row>
    <row r="6015" s="3" customFormat="1" ht="18.75" spans="1:5">
      <c r="A6015" s="8" t="str">
        <f t="shared" si="105"/>
        <v>250027</v>
      </c>
      <c r="B6015" s="8" t="str">
        <f>"2561407010212"</f>
        <v>2561407010212</v>
      </c>
      <c r="C6015" s="8" t="s">
        <v>13</v>
      </c>
      <c r="D6015" s="9">
        <v>0</v>
      </c>
      <c r="E6015" s="8">
        <v>188</v>
      </c>
    </row>
    <row r="6016" s="3" customFormat="1" ht="18.75" spans="1:5">
      <c r="A6016" s="8" t="str">
        <f t="shared" si="105"/>
        <v>250027</v>
      </c>
      <c r="B6016" s="8" t="str">
        <f>"2561407010213"</f>
        <v>2561407010213</v>
      </c>
      <c r="C6016" s="8" t="s">
        <v>13</v>
      </c>
      <c r="D6016" s="9">
        <v>0</v>
      </c>
      <c r="E6016" s="8">
        <v>188</v>
      </c>
    </row>
    <row r="6017" s="3" customFormat="1" ht="18.75" spans="1:5">
      <c r="A6017" s="8" t="str">
        <f t="shared" si="105"/>
        <v>250027</v>
      </c>
      <c r="B6017" s="8" t="str">
        <f>"2561407010215"</f>
        <v>2561407010215</v>
      </c>
      <c r="C6017" s="8" t="s">
        <v>13</v>
      </c>
      <c r="D6017" s="9">
        <v>0</v>
      </c>
      <c r="E6017" s="8">
        <v>188</v>
      </c>
    </row>
    <row r="6018" s="3" customFormat="1" ht="18.75" spans="1:5">
      <c r="A6018" s="8" t="str">
        <f t="shared" si="105"/>
        <v>250027</v>
      </c>
      <c r="B6018" s="8" t="str">
        <f>"2561407010216"</f>
        <v>2561407010216</v>
      </c>
      <c r="C6018" s="8" t="s">
        <v>13</v>
      </c>
      <c r="D6018" s="9">
        <v>0</v>
      </c>
      <c r="E6018" s="8">
        <v>188</v>
      </c>
    </row>
    <row r="6019" s="3" customFormat="1" ht="18.75" spans="1:5">
      <c r="A6019" s="8" t="str">
        <f t="shared" si="105"/>
        <v>250027</v>
      </c>
      <c r="B6019" s="8" t="str">
        <f>"2561407010217"</f>
        <v>2561407010217</v>
      </c>
      <c r="C6019" s="8" t="s">
        <v>13</v>
      </c>
      <c r="D6019" s="9">
        <v>0</v>
      </c>
      <c r="E6019" s="8">
        <v>188</v>
      </c>
    </row>
    <row r="6020" s="3" customFormat="1" ht="18.75" spans="1:5">
      <c r="A6020" s="8" t="str">
        <f t="shared" si="105"/>
        <v>250027</v>
      </c>
      <c r="B6020" s="8" t="str">
        <f>"2561407010219"</f>
        <v>2561407010219</v>
      </c>
      <c r="C6020" s="8" t="s">
        <v>13</v>
      </c>
      <c r="D6020" s="9">
        <v>0</v>
      </c>
      <c r="E6020" s="8">
        <v>188</v>
      </c>
    </row>
    <row r="6021" s="3" customFormat="1" ht="18.75" spans="1:5">
      <c r="A6021" s="8" t="str">
        <f t="shared" si="105"/>
        <v>250027</v>
      </c>
      <c r="B6021" s="8" t="str">
        <f>"2561407010220"</f>
        <v>2561407010220</v>
      </c>
      <c r="C6021" s="8" t="s">
        <v>13</v>
      </c>
      <c r="D6021" s="9">
        <v>0</v>
      </c>
      <c r="E6021" s="8">
        <v>188</v>
      </c>
    </row>
    <row r="6022" s="3" customFormat="1" ht="18.75" spans="1:5">
      <c r="A6022" s="8" t="str">
        <f t="shared" si="105"/>
        <v>250027</v>
      </c>
      <c r="B6022" s="8" t="str">
        <f>"2561407010221"</f>
        <v>2561407010221</v>
      </c>
      <c r="C6022" s="8" t="s">
        <v>13</v>
      </c>
      <c r="D6022" s="9">
        <v>0</v>
      </c>
      <c r="E6022" s="8">
        <v>188</v>
      </c>
    </row>
    <row r="6023" s="3" customFormat="1" ht="18.75" spans="1:5">
      <c r="A6023" s="8" t="str">
        <f t="shared" si="105"/>
        <v>250027</v>
      </c>
      <c r="B6023" s="8" t="str">
        <f>"2561407010222"</f>
        <v>2561407010222</v>
      </c>
      <c r="C6023" s="8" t="s">
        <v>13</v>
      </c>
      <c r="D6023" s="9">
        <v>0</v>
      </c>
      <c r="E6023" s="8">
        <v>188</v>
      </c>
    </row>
    <row r="6024" s="3" customFormat="1" ht="18.75" spans="1:5">
      <c r="A6024" s="8" t="str">
        <f t="shared" si="105"/>
        <v>250027</v>
      </c>
      <c r="B6024" s="8" t="str">
        <f>"2561407010225"</f>
        <v>2561407010225</v>
      </c>
      <c r="C6024" s="8" t="s">
        <v>13</v>
      </c>
      <c r="D6024" s="9">
        <v>0</v>
      </c>
      <c r="E6024" s="8">
        <v>188</v>
      </c>
    </row>
    <row r="6025" s="3" customFormat="1" ht="18.75" spans="1:5">
      <c r="A6025" s="8" t="str">
        <f t="shared" si="105"/>
        <v>250027</v>
      </c>
      <c r="B6025" s="8" t="str">
        <f>"2561407010226"</f>
        <v>2561407010226</v>
      </c>
      <c r="C6025" s="8" t="s">
        <v>13</v>
      </c>
      <c r="D6025" s="9">
        <v>0</v>
      </c>
      <c r="E6025" s="8">
        <v>188</v>
      </c>
    </row>
    <row r="6026" s="3" customFormat="1" ht="18.75" spans="1:5">
      <c r="A6026" s="8" t="str">
        <f t="shared" si="105"/>
        <v>250027</v>
      </c>
      <c r="B6026" s="8" t="str">
        <f>"2561407010229"</f>
        <v>2561407010229</v>
      </c>
      <c r="C6026" s="8" t="s">
        <v>13</v>
      </c>
      <c r="D6026" s="9">
        <v>0</v>
      </c>
      <c r="E6026" s="8">
        <v>188</v>
      </c>
    </row>
    <row r="6027" s="3" customFormat="1" ht="18.75" spans="1:5">
      <c r="A6027" s="8" t="str">
        <f t="shared" si="105"/>
        <v>250027</v>
      </c>
      <c r="B6027" s="8" t="str">
        <f>"2561407010301"</f>
        <v>2561407010301</v>
      </c>
      <c r="C6027" s="8" t="s">
        <v>13</v>
      </c>
      <c r="D6027" s="9">
        <v>0</v>
      </c>
      <c r="E6027" s="8">
        <v>188</v>
      </c>
    </row>
    <row r="6028" s="3" customFormat="1" ht="18.75" spans="1:5">
      <c r="A6028" s="8" t="str">
        <f t="shared" si="105"/>
        <v>250027</v>
      </c>
      <c r="B6028" s="8" t="str">
        <f>"2561407010304"</f>
        <v>2561407010304</v>
      </c>
      <c r="C6028" s="8" t="s">
        <v>13</v>
      </c>
      <c r="D6028" s="9">
        <v>0</v>
      </c>
      <c r="E6028" s="8">
        <v>188</v>
      </c>
    </row>
    <row r="6029" s="3" customFormat="1" ht="18.75" spans="1:5">
      <c r="A6029" s="8" t="str">
        <f t="shared" si="105"/>
        <v>250027</v>
      </c>
      <c r="B6029" s="8" t="str">
        <f>"2561407010305"</f>
        <v>2561407010305</v>
      </c>
      <c r="C6029" s="8" t="s">
        <v>13</v>
      </c>
      <c r="D6029" s="9">
        <v>0</v>
      </c>
      <c r="E6029" s="8">
        <v>188</v>
      </c>
    </row>
    <row r="6030" s="3" customFormat="1" ht="18.75" spans="1:5">
      <c r="A6030" s="8" t="str">
        <f t="shared" si="105"/>
        <v>250027</v>
      </c>
      <c r="B6030" s="8" t="str">
        <f>"2561407010308"</f>
        <v>2561407010308</v>
      </c>
      <c r="C6030" s="8" t="s">
        <v>13</v>
      </c>
      <c r="D6030" s="9">
        <v>0</v>
      </c>
      <c r="E6030" s="8">
        <v>188</v>
      </c>
    </row>
    <row r="6031" s="3" customFormat="1" ht="18.75" spans="1:5">
      <c r="A6031" s="8" t="str">
        <f t="shared" si="105"/>
        <v>250027</v>
      </c>
      <c r="B6031" s="8" t="str">
        <f>"2561407010311"</f>
        <v>2561407010311</v>
      </c>
      <c r="C6031" s="8" t="s">
        <v>13</v>
      </c>
      <c r="D6031" s="9">
        <v>0</v>
      </c>
      <c r="E6031" s="8">
        <v>188</v>
      </c>
    </row>
    <row r="6032" s="3" customFormat="1" ht="18.75" spans="1:5">
      <c r="A6032" s="8" t="str">
        <f t="shared" si="105"/>
        <v>250027</v>
      </c>
      <c r="B6032" s="8" t="str">
        <f>"2561407010313"</f>
        <v>2561407010313</v>
      </c>
      <c r="C6032" s="8" t="s">
        <v>13</v>
      </c>
      <c r="D6032" s="9">
        <v>0</v>
      </c>
      <c r="E6032" s="8">
        <v>188</v>
      </c>
    </row>
    <row r="6033" s="3" customFormat="1" ht="18.75" spans="1:5">
      <c r="A6033" s="8" t="str">
        <f t="shared" si="105"/>
        <v>250027</v>
      </c>
      <c r="B6033" s="8" t="str">
        <f>"2561407010315"</f>
        <v>2561407010315</v>
      </c>
      <c r="C6033" s="8" t="s">
        <v>13</v>
      </c>
      <c r="D6033" s="9">
        <v>0</v>
      </c>
      <c r="E6033" s="8">
        <v>188</v>
      </c>
    </row>
    <row r="6034" s="3" customFormat="1" ht="18.75" spans="1:5">
      <c r="A6034" s="8" t="str">
        <f t="shared" si="105"/>
        <v>250027</v>
      </c>
      <c r="B6034" s="8" t="str">
        <f>"2561407010317"</f>
        <v>2561407010317</v>
      </c>
      <c r="C6034" s="8" t="s">
        <v>13</v>
      </c>
      <c r="D6034" s="9">
        <v>0</v>
      </c>
      <c r="E6034" s="8">
        <v>188</v>
      </c>
    </row>
    <row r="6035" s="3" customFormat="1" ht="18.75" spans="1:5">
      <c r="A6035" s="8" t="str">
        <f t="shared" si="105"/>
        <v>250027</v>
      </c>
      <c r="B6035" s="8" t="str">
        <f>"2561407010319"</f>
        <v>2561407010319</v>
      </c>
      <c r="C6035" s="8" t="s">
        <v>13</v>
      </c>
      <c r="D6035" s="9">
        <v>0</v>
      </c>
      <c r="E6035" s="8">
        <v>188</v>
      </c>
    </row>
    <row r="6036" s="3" customFormat="1" ht="18.75" spans="1:5">
      <c r="A6036" s="8" t="str">
        <f t="shared" si="105"/>
        <v>250027</v>
      </c>
      <c r="B6036" s="8" t="str">
        <f>"2561407010320"</f>
        <v>2561407010320</v>
      </c>
      <c r="C6036" s="8" t="s">
        <v>13</v>
      </c>
      <c r="D6036" s="9">
        <v>0</v>
      </c>
      <c r="E6036" s="8">
        <v>188</v>
      </c>
    </row>
    <row r="6037" s="3" customFormat="1" ht="18.75" spans="1:5">
      <c r="A6037" s="8" t="str">
        <f t="shared" si="105"/>
        <v>250027</v>
      </c>
      <c r="B6037" s="8" t="str">
        <f>"2561407010322"</f>
        <v>2561407010322</v>
      </c>
      <c r="C6037" s="8" t="s">
        <v>13</v>
      </c>
      <c r="D6037" s="9">
        <v>0</v>
      </c>
      <c r="E6037" s="8">
        <v>188</v>
      </c>
    </row>
    <row r="6038" s="3" customFormat="1" ht="18.75" spans="1:5">
      <c r="A6038" s="8" t="str">
        <f t="shared" si="105"/>
        <v>250027</v>
      </c>
      <c r="B6038" s="8" t="str">
        <f>"2561407010325"</f>
        <v>2561407010325</v>
      </c>
      <c r="C6038" s="8" t="s">
        <v>13</v>
      </c>
      <c r="D6038" s="9">
        <v>0</v>
      </c>
      <c r="E6038" s="8">
        <v>188</v>
      </c>
    </row>
    <row r="6039" s="3" customFormat="1" ht="18.75" spans="1:5">
      <c r="A6039" s="8" t="str">
        <f t="shared" si="105"/>
        <v>250027</v>
      </c>
      <c r="B6039" s="8" t="str">
        <f>"2561407010326"</f>
        <v>2561407010326</v>
      </c>
      <c r="C6039" s="8" t="s">
        <v>13</v>
      </c>
      <c r="D6039" s="9">
        <v>0</v>
      </c>
      <c r="E6039" s="8">
        <v>188</v>
      </c>
    </row>
    <row r="6040" s="3" customFormat="1" ht="18.75" spans="1:5">
      <c r="A6040" s="8" t="str">
        <f t="shared" si="105"/>
        <v>250027</v>
      </c>
      <c r="B6040" s="8" t="str">
        <f>"2561407010327"</f>
        <v>2561407010327</v>
      </c>
      <c r="C6040" s="8" t="s">
        <v>13</v>
      </c>
      <c r="D6040" s="9">
        <v>0</v>
      </c>
      <c r="E6040" s="8">
        <v>188</v>
      </c>
    </row>
    <row r="6041" s="3" customFormat="1" ht="18.75" spans="1:5">
      <c r="A6041" s="8" t="str">
        <f t="shared" si="105"/>
        <v>250027</v>
      </c>
      <c r="B6041" s="8" t="str">
        <f>"2561407010328"</f>
        <v>2561407010328</v>
      </c>
      <c r="C6041" s="8" t="s">
        <v>13</v>
      </c>
      <c r="D6041" s="9">
        <v>0</v>
      </c>
      <c r="E6041" s="8">
        <v>188</v>
      </c>
    </row>
    <row r="6042" s="3" customFormat="1" ht="18.75" spans="1:5">
      <c r="A6042" s="8" t="str">
        <f t="shared" si="105"/>
        <v>250027</v>
      </c>
      <c r="B6042" s="8" t="str">
        <f>"2561407010330"</f>
        <v>2561407010330</v>
      </c>
      <c r="C6042" s="8" t="s">
        <v>13</v>
      </c>
      <c r="D6042" s="9">
        <v>0</v>
      </c>
      <c r="E6042" s="8">
        <v>188</v>
      </c>
    </row>
    <row r="6043" s="3" customFormat="1" ht="18.75" spans="1:5">
      <c r="A6043" s="8" t="str">
        <f t="shared" si="105"/>
        <v>250027</v>
      </c>
      <c r="B6043" s="8" t="str">
        <f>"2561407010401"</f>
        <v>2561407010401</v>
      </c>
      <c r="C6043" s="8" t="s">
        <v>13</v>
      </c>
      <c r="D6043" s="9">
        <v>0</v>
      </c>
      <c r="E6043" s="8">
        <v>188</v>
      </c>
    </row>
    <row r="6044" s="3" customFormat="1" ht="18.75" spans="1:5">
      <c r="A6044" s="8" t="str">
        <f t="shared" si="105"/>
        <v>250027</v>
      </c>
      <c r="B6044" s="8" t="str">
        <f>"2561407010402"</f>
        <v>2561407010402</v>
      </c>
      <c r="C6044" s="8" t="s">
        <v>13</v>
      </c>
      <c r="D6044" s="9">
        <v>0</v>
      </c>
      <c r="E6044" s="8">
        <v>188</v>
      </c>
    </row>
    <row r="6045" s="3" customFormat="1" ht="18.75" spans="1:5">
      <c r="A6045" s="8" t="str">
        <f t="shared" si="105"/>
        <v>250027</v>
      </c>
      <c r="B6045" s="8" t="str">
        <f>"2561407010403"</f>
        <v>2561407010403</v>
      </c>
      <c r="C6045" s="8" t="s">
        <v>13</v>
      </c>
      <c r="D6045" s="9">
        <v>0</v>
      </c>
      <c r="E6045" s="8">
        <v>188</v>
      </c>
    </row>
    <row r="6046" s="3" customFormat="1" ht="18.75" spans="1:5">
      <c r="A6046" s="8" t="str">
        <f t="shared" si="105"/>
        <v>250027</v>
      </c>
      <c r="B6046" s="8" t="str">
        <f>"2561407010407"</f>
        <v>2561407010407</v>
      </c>
      <c r="C6046" s="8" t="s">
        <v>13</v>
      </c>
      <c r="D6046" s="9">
        <v>0</v>
      </c>
      <c r="E6046" s="8">
        <v>188</v>
      </c>
    </row>
    <row r="6047" s="3" customFormat="1" ht="18.75" spans="1:5">
      <c r="A6047" s="8" t="str">
        <f t="shared" si="105"/>
        <v>250027</v>
      </c>
      <c r="B6047" s="8" t="str">
        <f>"2561407010408"</f>
        <v>2561407010408</v>
      </c>
      <c r="C6047" s="8" t="s">
        <v>13</v>
      </c>
      <c r="D6047" s="9">
        <v>0</v>
      </c>
      <c r="E6047" s="8">
        <v>188</v>
      </c>
    </row>
    <row r="6048" s="3" customFormat="1" ht="18.75" spans="1:5">
      <c r="A6048" s="8" t="str">
        <f t="shared" si="105"/>
        <v>250027</v>
      </c>
      <c r="B6048" s="8" t="str">
        <f>"2561407010409"</f>
        <v>2561407010409</v>
      </c>
      <c r="C6048" s="8" t="s">
        <v>13</v>
      </c>
      <c r="D6048" s="9">
        <v>0</v>
      </c>
      <c r="E6048" s="8">
        <v>188</v>
      </c>
    </row>
    <row r="6049" s="3" customFormat="1" ht="18.75" spans="1:5">
      <c r="A6049" s="8" t="str">
        <f t="shared" si="105"/>
        <v>250027</v>
      </c>
      <c r="B6049" s="8" t="str">
        <f>"2561407010411"</f>
        <v>2561407010411</v>
      </c>
      <c r="C6049" s="8" t="s">
        <v>13</v>
      </c>
      <c r="D6049" s="9">
        <v>0</v>
      </c>
      <c r="E6049" s="8">
        <v>188</v>
      </c>
    </row>
    <row r="6050" s="3" customFormat="1" ht="18.75" spans="1:5">
      <c r="A6050" s="8" t="str">
        <f t="shared" si="105"/>
        <v>250027</v>
      </c>
      <c r="B6050" s="8" t="str">
        <f>"2561407010412"</f>
        <v>2561407010412</v>
      </c>
      <c r="C6050" s="8" t="s">
        <v>13</v>
      </c>
      <c r="D6050" s="9">
        <v>0</v>
      </c>
      <c r="E6050" s="8">
        <v>188</v>
      </c>
    </row>
    <row r="6051" s="3" customFormat="1" ht="18.75" spans="1:5">
      <c r="A6051" s="8" t="str">
        <f t="shared" si="105"/>
        <v>250027</v>
      </c>
      <c r="B6051" s="8" t="str">
        <f>"2561407010414"</f>
        <v>2561407010414</v>
      </c>
      <c r="C6051" s="8" t="s">
        <v>13</v>
      </c>
      <c r="D6051" s="9">
        <v>0</v>
      </c>
      <c r="E6051" s="8">
        <v>188</v>
      </c>
    </row>
    <row r="6052" s="3" customFormat="1" ht="18.75" spans="1:5">
      <c r="A6052" s="8" t="str">
        <f t="shared" si="105"/>
        <v>250027</v>
      </c>
      <c r="B6052" s="8" t="str">
        <f>"2561407010415"</f>
        <v>2561407010415</v>
      </c>
      <c r="C6052" s="8" t="s">
        <v>13</v>
      </c>
      <c r="D6052" s="9">
        <v>0</v>
      </c>
      <c r="E6052" s="8">
        <v>188</v>
      </c>
    </row>
    <row r="6053" s="3" customFormat="1" ht="18.75" spans="1:5">
      <c r="A6053" s="8" t="str">
        <f t="shared" si="105"/>
        <v>250027</v>
      </c>
      <c r="B6053" s="8" t="str">
        <f>"2561407010416"</f>
        <v>2561407010416</v>
      </c>
      <c r="C6053" s="8" t="s">
        <v>13</v>
      </c>
      <c r="D6053" s="9">
        <v>0</v>
      </c>
      <c r="E6053" s="8">
        <v>188</v>
      </c>
    </row>
    <row r="6054" s="3" customFormat="1" ht="18.75" spans="1:5">
      <c r="A6054" s="8" t="str">
        <f t="shared" si="105"/>
        <v>250027</v>
      </c>
      <c r="B6054" s="8" t="str">
        <f>"2561407010418"</f>
        <v>2561407010418</v>
      </c>
      <c r="C6054" s="8" t="s">
        <v>13</v>
      </c>
      <c r="D6054" s="9">
        <v>0</v>
      </c>
      <c r="E6054" s="8">
        <v>188</v>
      </c>
    </row>
    <row r="6055" s="3" customFormat="1" ht="18.75" spans="1:5">
      <c r="A6055" s="8" t="str">
        <f t="shared" si="105"/>
        <v>250027</v>
      </c>
      <c r="B6055" s="8" t="str">
        <f>"2561407010419"</f>
        <v>2561407010419</v>
      </c>
      <c r="C6055" s="8" t="s">
        <v>13</v>
      </c>
      <c r="D6055" s="9">
        <v>0</v>
      </c>
      <c r="E6055" s="8">
        <v>188</v>
      </c>
    </row>
    <row r="6056" s="3" customFormat="1" ht="18.75" spans="1:5">
      <c r="A6056" s="8" t="str">
        <f t="shared" si="105"/>
        <v>250027</v>
      </c>
      <c r="B6056" s="8" t="str">
        <f>"2561407010421"</f>
        <v>2561407010421</v>
      </c>
      <c r="C6056" s="8" t="s">
        <v>13</v>
      </c>
      <c r="D6056" s="9">
        <v>0</v>
      </c>
      <c r="E6056" s="8">
        <v>188</v>
      </c>
    </row>
    <row r="6057" s="3" customFormat="1" ht="18.75" spans="1:5">
      <c r="A6057" s="8" t="str">
        <f t="shared" si="105"/>
        <v>250027</v>
      </c>
      <c r="B6057" s="8" t="str">
        <f>"2561407010423"</f>
        <v>2561407010423</v>
      </c>
      <c r="C6057" s="8" t="s">
        <v>13</v>
      </c>
      <c r="D6057" s="9">
        <v>0</v>
      </c>
      <c r="E6057" s="8">
        <v>188</v>
      </c>
    </row>
    <row r="6058" s="3" customFormat="1" ht="18.75" spans="1:5">
      <c r="A6058" s="8" t="str">
        <f t="shared" si="105"/>
        <v>250027</v>
      </c>
      <c r="B6058" s="8" t="str">
        <f>"2561407010424"</f>
        <v>2561407010424</v>
      </c>
      <c r="C6058" s="8" t="s">
        <v>13</v>
      </c>
      <c r="D6058" s="9">
        <v>0</v>
      </c>
      <c r="E6058" s="8">
        <v>188</v>
      </c>
    </row>
    <row r="6059" s="3" customFormat="1" ht="18.75" spans="1:5">
      <c r="A6059" s="8" t="str">
        <f t="shared" si="105"/>
        <v>250027</v>
      </c>
      <c r="B6059" s="8" t="str">
        <f>"2561407010425"</f>
        <v>2561407010425</v>
      </c>
      <c r="C6059" s="8" t="s">
        <v>13</v>
      </c>
      <c r="D6059" s="9">
        <v>0</v>
      </c>
      <c r="E6059" s="8">
        <v>188</v>
      </c>
    </row>
    <row r="6060" s="3" customFormat="1" ht="18.75" spans="1:5">
      <c r="A6060" s="8" t="str">
        <f t="shared" si="105"/>
        <v>250027</v>
      </c>
      <c r="B6060" s="8" t="str">
        <f>"2561407010501"</f>
        <v>2561407010501</v>
      </c>
      <c r="C6060" s="8" t="s">
        <v>13</v>
      </c>
      <c r="D6060" s="9">
        <v>0</v>
      </c>
      <c r="E6060" s="8">
        <v>188</v>
      </c>
    </row>
    <row r="6061" s="3" customFormat="1" ht="18.75" spans="1:5">
      <c r="A6061" s="8" t="str">
        <f t="shared" si="105"/>
        <v>250027</v>
      </c>
      <c r="B6061" s="8" t="str">
        <f>"2561407010503"</f>
        <v>2561407010503</v>
      </c>
      <c r="C6061" s="8" t="s">
        <v>13</v>
      </c>
      <c r="D6061" s="9">
        <v>0</v>
      </c>
      <c r="E6061" s="8">
        <v>188</v>
      </c>
    </row>
    <row r="6062" s="3" customFormat="1" ht="18.75" spans="1:5">
      <c r="A6062" s="8" t="str">
        <f t="shared" si="105"/>
        <v>250027</v>
      </c>
      <c r="B6062" s="8" t="str">
        <f>"2561407010504"</f>
        <v>2561407010504</v>
      </c>
      <c r="C6062" s="8" t="s">
        <v>13</v>
      </c>
      <c r="D6062" s="9">
        <v>0</v>
      </c>
      <c r="E6062" s="8">
        <v>188</v>
      </c>
    </row>
    <row r="6063" s="3" customFormat="1" ht="18.75" spans="1:5">
      <c r="A6063" s="8" t="str">
        <f t="shared" ref="A6063:A6126" si="106">"250027"</f>
        <v>250027</v>
      </c>
      <c r="B6063" s="8" t="str">
        <f>"2561407010509"</f>
        <v>2561407010509</v>
      </c>
      <c r="C6063" s="8" t="s">
        <v>13</v>
      </c>
      <c r="D6063" s="9">
        <v>0</v>
      </c>
      <c r="E6063" s="8">
        <v>188</v>
      </c>
    </row>
    <row r="6064" s="3" customFormat="1" ht="18.75" spans="1:5">
      <c r="A6064" s="8" t="str">
        <f t="shared" si="106"/>
        <v>250027</v>
      </c>
      <c r="B6064" s="8" t="str">
        <f>"2561407010510"</f>
        <v>2561407010510</v>
      </c>
      <c r="C6064" s="8" t="s">
        <v>13</v>
      </c>
      <c r="D6064" s="9">
        <v>0</v>
      </c>
      <c r="E6064" s="8">
        <v>188</v>
      </c>
    </row>
    <row r="6065" s="3" customFormat="1" ht="18.75" spans="1:5">
      <c r="A6065" s="8" t="str">
        <f t="shared" si="106"/>
        <v>250027</v>
      </c>
      <c r="B6065" s="8" t="str">
        <f>"2561407010511"</f>
        <v>2561407010511</v>
      </c>
      <c r="C6065" s="8" t="s">
        <v>13</v>
      </c>
      <c r="D6065" s="9">
        <v>0</v>
      </c>
      <c r="E6065" s="8">
        <v>188</v>
      </c>
    </row>
    <row r="6066" s="3" customFormat="1" ht="18.75" spans="1:5">
      <c r="A6066" s="8" t="str">
        <f t="shared" si="106"/>
        <v>250027</v>
      </c>
      <c r="B6066" s="8" t="str">
        <f>"2561407010512"</f>
        <v>2561407010512</v>
      </c>
      <c r="C6066" s="8" t="s">
        <v>13</v>
      </c>
      <c r="D6066" s="9">
        <v>0</v>
      </c>
      <c r="E6066" s="8">
        <v>188</v>
      </c>
    </row>
    <row r="6067" s="3" customFormat="1" ht="18.75" spans="1:5">
      <c r="A6067" s="8" t="str">
        <f t="shared" si="106"/>
        <v>250027</v>
      </c>
      <c r="B6067" s="8" t="str">
        <f>"2561407010513"</f>
        <v>2561407010513</v>
      </c>
      <c r="C6067" s="8" t="s">
        <v>13</v>
      </c>
      <c r="D6067" s="9">
        <v>0</v>
      </c>
      <c r="E6067" s="8">
        <v>188</v>
      </c>
    </row>
    <row r="6068" s="3" customFormat="1" ht="18.75" spans="1:5">
      <c r="A6068" s="8" t="str">
        <f t="shared" si="106"/>
        <v>250027</v>
      </c>
      <c r="B6068" s="8" t="str">
        <f>"2561407010514"</f>
        <v>2561407010514</v>
      </c>
      <c r="C6068" s="8" t="s">
        <v>13</v>
      </c>
      <c r="D6068" s="9">
        <v>0</v>
      </c>
      <c r="E6068" s="8">
        <v>188</v>
      </c>
    </row>
    <row r="6069" s="3" customFormat="1" ht="18.75" spans="1:5">
      <c r="A6069" s="8" t="str">
        <f t="shared" si="106"/>
        <v>250027</v>
      </c>
      <c r="B6069" s="8" t="str">
        <f>"2561407010516"</f>
        <v>2561407010516</v>
      </c>
      <c r="C6069" s="8" t="s">
        <v>13</v>
      </c>
      <c r="D6069" s="9">
        <v>0</v>
      </c>
      <c r="E6069" s="8">
        <v>188</v>
      </c>
    </row>
    <row r="6070" s="3" customFormat="1" ht="18.75" spans="1:5">
      <c r="A6070" s="8" t="str">
        <f t="shared" si="106"/>
        <v>250027</v>
      </c>
      <c r="B6070" s="8" t="str">
        <f>"2561407010517"</f>
        <v>2561407010517</v>
      </c>
      <c r="C6070" s="8" t="s">
        <v>13</v>
      </c>
      <c r="D6070" s="9">
        <v>0</v>
      </c>
      <c r="E6070" s="8">
        <v>188</v>
      </c>
    </row>
    <row r="6071" s="3" customFormat="1" ht="18.75" spans="1:5">
      <c r="A6071" s="8" t="str">
        <f t="shared" si="106"/>
        <v>250027</v>
      </c>
      <c r="B6071" s="8" t="str">
        <f>"2561407010520"</f>
        <v>2561407010520</v>
      </c>
      <c r="C6071" s="8" t="s">
        <v>13</v>
      </c>
      <c r="D6071" s="9">
        <v>0</v>
      </c>
      <c r="E6071" s="8">
        <v>188</v>
      </c>
    </row>
    <row r="6072" s="3" customFormat="1" ht="18.75" spans="1:5">
      <c r="A6072" s="8" t="str">
        <f t="shared" si="106"/>
        <v>250027</v>
      </c>
      <c r="B6072" s="8" t="str">
        <f>"2561407010521"</f>
        <v>2561407010521</v>
      </c>
      <c r="C6072" s="8" t="s">
        <v>13</v>
      </c>
      <c r="D6072" s="9">
        <v>0</v>
      </c>
      <c r="E6072" s="8">
        <v>188</v>
      </c>
    </row>
    <row r="6073" s="3" customFormat="1" ht="18.75" spans="1:5">
      <c r="A6073" s="8" t="str">
        <f t="shared" si="106"/>
        <v>250027</v>
      </c>
      <c r="B6073" s="8" t="str">
        <f>"2561407010522"</f>
        <v>2561407010522</v>
      </c>
      <c r="C6073" s="8" t="s">
        <v>13</v>
      </c>
      <c r="D6073" s="9">
        <v>0</v>
      </c>
      <c r="E6073" s="8">
        <v>188</v>
      </c>
    </row>
    <row r="6074" s="3" customFormat="1" ht="18.75" spans="1:5">
      <c r="A6074" s="8" t="str">
        <f t="shared" si="106"/>
        <v>250027</v>
      </c>
      <c r="B6074" s="8" t="str">
        <f>"2561407010523"</f>
        <v>2561407010523</v>
      </c>
      <c r="C6074" s="8" t="s">
        <v>13</v>
      </c>
      <c r="D6074" s="9">
        <v>0</v>
      </c>
      <c r="E6074" s="8">
        <v>188</v>
      </c>
    </row>
    <row r="6075" s="3" customFormat="1" ht="18.75" spans="1:5">
      <c r="A6075" s="8" t="str">
        <f t="shared" si="106"/>
        <v>250027</v>
      </c>
      <c r="B6075" s="8" t="str">
        <f>"2561407010524"</f>
        <v>2561407010524</v>
      </c>
      <c r="C6075" s="8" t="s">
        <v>13</v>
      </c>
      <c r="D6075" s="9">
        <v>0</v>
      </c>
      <c r="E6075" s="8">
        <v>188</v>
      </c>
    </row>
    <row r="6076" s="3" customFormat="1" ht="18.75" spans="1:5">
      <c r="A6076" s="8" t="str">
        <f t="shared" si="106"/>
        <v>250027</v>
      </c>
      <c r="B6076" s="8" t="str">
        <f>"2561407010525"</f>
        <v>2561407010525</v>
      </c>
      <c r="C6076" s="8" t="s">
        <v>13</v>
      </c>
      <c r="D6076" s="9">
        <v>0</v>
      </c>
      <c r="E6076" s="8">
        <v>188</v>
      </c>
    </row>
    <row r="6077" s="3" customFormat="1" ht="18.75" spans="1:5">
      <c r="A6077" s="8" t="str">
        <f t="shared" si="106"/>
        <v>250027</v>
      </c>
      <c r="B6077" s="8" t="str">
        <f>"2561407010527"</f>
        <v>2561407010527</v>
      </c>
      <c r="C6077" s="8" t="s">
        <v>13</v>
      </c>
      <c r="D6077" s="9">
        <v>0</v>
      </c>
      <c r="E6077" s="8">
        <v>188</v>
      </c>
    </row>
    <row r="6078" s="3" customFormat="1" ht="18.75" spans="1:5">
      <c r="A6078" s="8" t="str">
        <f t="shared" si="106"/>
        <v>250027</v>
      </c>
      <c r="B6078" s="8" t="str">
        <f>"2561407010601"</f>
        <v>2561407010601</v>
      </c>
      <c r="C6078" s="8" t="s">
        <v>13</v>
      </c>
      <c r="D6078" s="9">
        <v>0</v>
      </c>
      <c r="E6078" s="8">
        <v>188</v>
      </c>
    </row>
    <row r="6079" s="3" customFormat="1" ht="18.75" spans="1:5">
      <c r="A6079" s="8" t="str">
        <f t="shared" si="106"/>
        <v>250027</v>
      </c>
      <c r="B6079" s="8" t="str">
        <f>"2561407010602"</f>
        <v>2561407010602</v>
      </c>
      <c r="C6079" s="8" t="s">
        <v>13</v>
      </c>
      <c r="D6079" s="9">
        <v>0</v>
      </c>
      <c r="E6079" s="8">
        <v>188</v>
      </c>
    </row>
    <row r="6080" s="3" customFormat="1" ht="18.75" spans="1:5">
      <c r="A6080" s="8" t="str">
        <f t="shared" si="106"/>
        <v>250027</v>
      </c>
      <c r="B6080" s="8" t="str">
        <f>"2561407010604"</f>
        <v>2561407010604</v>
      </c>
      <c r="C6080" s="8" t="s">
        <v>13</v>
      </c>
      <c r="D6080" s="9">
        <v>0</v>
      </c>
      <c r="E6080" s="8">
        <v>188</v>
      </c>
    </row>
    <row r="6081" s="3" customFormat="1" ht="18.75" spans="1:5">
      <c r="A6081" s="8" t="str">
        <f t="shared" si="106"/>
        <v>250027</v>
      </c>
      <c r="B6081" s="8" t="str">
        <f>"2561407010610"</f>
        <v>2561407010610</v>
      </c>
      <c r="C6081" s="8" t="s">
        <v>13</v>
      </c>
      <c r="D6081" s="9">
        <v>0</v>
      </c>
      <c r="E6081" s="8">
        <v>188</v>
      </c>
    </row>
    <row r="6082" s="3" customFormat="1" ht="18.75" spans="1:5">
      <c r="A6082" s="8" t="str">
        <f t="shared" si="106"/>
        <v>250027</v>
      </c>
      <c r="B6082" s="8" t="str">
        <f>"2561407010611"</f>
        <v>2561407010611</v>
      </c>
      <c r="C6082" s="8" t="s">
        <v>13</v>
      </c>
      <c r="D6082" s="9">
        <v>0</v>
      </c>
      <c r="E6082" s="8">
        <v>188</v>
      </c>
    </row>
    <row r="6083" s="3" customFormat="1" ht="18.75" spans="1:5">
      <c r="A6083" s="8" t="str">
        <f t="shared" si="106"/>
        <v>250027</v>
      </c>
      <c r="B6083" s="8" t="str">
        <f>"2561407010615"</f>
        <v>2561407010615</v>
      </c>
      <c r="C6083" s="8" t="s">
        <v>13</v>
      </c>
      <c r="D6083" s="9">
        <v>0</v>
      </c>
      <c r="E6083" s="8">
        <v>188</v>
      </c>
    </row>
    <row r="6084" s="3" customFormat="1" ht="18.75" spans="1:5">
      <c r="A6084" s="8" t="str">
        <f t="shared" si="106"/>
        <v>250027</v>
      </c>
      <c r="B6084" s="8" t="str">
        <f>"2561407010616"</f>
        <v>2561407010616</v>
      </c>
      <c r="C6084" s="8" t="s">
        <v>13</v>
      </c>
      <c r="D6084" s="9">
        <v>0</v>
      </c>
      <c r="E6084" s="8">
        <v>188</v>
      </c>
    </row>
    <row r="6085" s="3" customFormat="1" ht="18.75" spans="1:5">
      <c r="A6085" s="8" t="str">
        <f t="shared" si="106"/>
        <v>250027</v>
      </c>
      <c r="B6085" s="8" t="str">
        <f>"2561407010617"</f>
        <v>2561407010617</v>
      </c>
      <c r="C6085" s="8" t="s">
        <v>13</v>
      </c>
      <c r="D6085" s="9">
        <v>0</v>
      </c>
      <c r="E6085" s="8">
        <v>188</v>
      </c>
    </row>
    <row r="6086" s="3" customFormat="1" ht="18.75" spans="1:5">
      <c r="A6086" s="8" t="str">
        <f t="shared" si="106"/>
        <v>250027</v>
      </c>
      <c r="B6086" s="8" t="str">
        <f>"2561407010624"</f>
        <v>2561407010624</v>
      </c>
      <c r="C6086" s="8" t="s">
        <v>13</v>
      </c>
      <c r="D6086" s="9">
        <v>0</v>
      </c>
      <c r="E6086" s="8">
        <v>188</v>
      </c>
    </row>
    <row r="6087" s="3" customFormat="1" ht="18.75" spans="1:5">
      <c r="A6087" s="8" t="str">
        <f t="shared" si="106"/>
        <v>250027</v>
      </c>
      <c r="B6087" s="8" t="str">
        <f>"2561407010702"</f>
        <v>2561407010702</v>
      </c>
      <c r="C6087" s="8" t="s">
        <v>13</v>
      </c>
      <c r="D6087" s="9">
        <v>0</v>
      </c>
      <c r="E6087" s="8">
        <v>188</v>
      </c>
    </row>
    <row r="6088" s="3" customFormat="1" ht="18.75" spans="1:5">
      <c r="A6088" s="8" t="str">
        <f t="shared" si="106"/>
        <v>250027</v>
      </c>
      <c r="B6088" s="8" t="str">
        <f>"2561407010704"</f>
        <v>2561407010704</v>
      </c>
      <c r="C6088" s="8" t="s">
        <v>13</v>
      </c>
      <c r="D6088" s="9">
        <v>0</v>
      </c>
      <c r="E6088" s="8">
        <v>188</v>
      </c>
    </row>
    <row r="6089" s="3" customFormat="1" ht="18.75" spans="1:5">
      <c r="A6089" s="8" t="str">
        <f t="shared" si="106"/>
        <v>250027</v>
      </c>
      <c r="B6089" s="8" t="str">
        <f>"2561407010705"</f>
        <v>2561407010705</v>
      </c>
      <c r="C6089" s="8" t="s">
        <v>13</v>
      </c>
      <c r="D6089" s="9">
        <v>0</v>
      </c>
      <c r="E6089" s="8">
        <v>188</v>
      </c>
    </row>
    <row r="6090" s="3" customFormat="1" ht="18.75" spans="1:5">
      <c r="A6090" s="8" t="str">
        <f t="shared" si="106"/>
        <v>250027</v>
      </c>
      <c r="B6090" s="8" t="str">
        <f>"2561407010707"</f>
        <v>2561407010707</v>
      </c>
      <c r="C6090" s="8" t="s">
        <v>13</v>
      </c>
      <c r="D6090" s="9">
        <v>0</v>
      </c>
      <c r="E6090" s="8">
        <v>188</v>
      </c>
    </row>
    <row r="6091" s="3" customFormat="1" ht="18.75" spans="1:5">
      <c r="A6091" s="8" t="str">
        <f t="shared" si="106"/>
        <v>250027</v>
      </c>
      <c r="B6091" s="8" t="str">
        <f>"2561407010708"</f>
        <v>2561407010708</v>
      </c>
      <c r="C6091" s="8" t="s">
        <v>13</v>
      </c>
      <c r="D6091" s="9">
        <v>0</v>
      </c>
      <c r="E6091" s="8">
        <v>188</v>
      </c>
    </row>
    <row r="6092" s="3" customFormat="1" ht="18.75" spans="1:5">
      <c r="A6092" s="8" t="str">
        <f t="shared" si="106"/>
        <v>250027</v>
      </c>
      <c r="B6092" s="8" t="str">
        <f>"2561407010713"</f>
        <v>2561407010713</v>
      </c>
      <c r="C6092" s="8" t="s">
        <v>13</v>
      </c>
      <c r="D6092" s="9">
        <v>0</v>
      </c>
      <c r="E6092" s="8">
        <v>188</v>
      </c>
    </row>
    <row r="6093" s="3" customFormat="1" ht="18.75" spans="1:5">
      <c r="A6093" s="8" t="str">
        <f t="shared" si="106"/>
        <v>250027</v>
      </c>
      <c r="B6093" s="8" t="str">
        <f>"2561407010715"</f>
        <v>2561407010715</v>
      </c>
      <c r="C6093" s="8" t="s">
        <v>13</v>
      </c>
      <c r="D6093" s="9">
        <v>0</v>
      </c>
      <c r="E6093" s="8">
        <v>188</v>
      </c>
    </row>
    <row r="6094" s="3" customFormat="1" ht="18.75" spans="1:5">
      <c r="A6094" s="8" t="str">
        <f t="shared" si="106"/>
        <v>250027</v>
      </c>
      <c r="B6094" s="8" t="str">
        <f>"2561407010716"</f>
        <v>2561407010716</v>
      </c>
      <c r="C6094" s="8" t="s">
        <v>13</v>
      </c>
      <c r="D6094" s="9">
        <v>0</v>
      </c>
      <c r="E6094" s="8">
        <v>188</v>
      </c>
    </row>
    <row r="6095" s="3" customFormat="1" ht="18.75" spans="1:5">
      <c r="A6095" s="8" t="str">
        <f t="shared" si="106"/>
        <v>250027</v>
      </c>
      <c r="B6095" s="8" t="str">
        <f>"2561407010717"</f>
        <v>2561407010717</v>
      </c>
      <c r="C6095" s="8" t="s">
        <v>13</v>
      </c>
      <c r="D6095" s="9">
        <v>0</v>
      </c>
      <c r="E6095" s="8">
        <v>188</v>
      </c>
    </row>
    <row r="6096" s="3" customFormat="1" ht="18.75" spans="1:5">
      <c r="A6096" s="8" t="str">
        <f t="shared" si="106"/>
        <v>250027</v>
      </c>
      <c r="B6096" s="8" t="str">
        <f>"2561407010721"</f>
        <v>2561407010721</v>
      </c>
      <c r="C6096" s="8" t="s">
        <v>13</v>
      </c>
      <c r="D6096" s="9">
        <v>0</v>
      </c>
      <c r="E6096" s="8">
        <v>188</v>
      </c>
    </row>
    <row r="6097" s="3" customFormat="1" ht="18.75" spans="1:5">
      <c r="A6097" s="8" t="str">
        <f t="shared" si="106"/>
        <v>250027</v>
      </c>
      <c r="B6097" s="8" t="str">
        <f>"2561407010723"</f>
        <v>2561407010723</v>
      </c>
      <c r="C6097" s="8" t="s">
        <v>13</v>
      </c>
      <c r="D6097" s="9">
        <v>0</v>
      </c>
      <c r="E6097" s="8">
        <v>188</v>
      </c>
    </row>
    <row r="6098" s="3" customFormat="1" ht="18.75" spans="1:5">
      <c r="A6098" s="8" t="str">
        <f t="shared" si="106"/>
        <v>250027</v>
      </c>
      <c r="B6098" s="8" t="str">
        <f>"2561407010724"</f>
        <v>2561407010724</v>
      </c>
      <c r="C6098" s="8" t="s">
        <v>13</v>
      </c>
      <c r="D6098" s="9">
        <v>0</v>
      </c>
      <c r="E6098" s="8">
        <v>188</v>
      </c>
    </row>
    <row r="6099" s="3" customFormat="1" ht="18.75" spans="1:5">
      <c r="A6099" s="8" t="str">
        <f t="shared" si="106"/>
        <v>250027</v>
      </c>
      <c r="B6099" s="8" t="str">
        <f>"2561407010725"</f>
        <v>2561407010725</v>
      </c>
      <c r="C6099" s="8" t="s">
        <v>13</v>
      </c>
      <c r="D6099" s="9">
        <v>0</v>
      </c>
      <c r="E6099" s="8">
        <v>188</v>
      </c>
    </row>
    <row r="6100" s="3" customFormat="1" ht="18.75" spans="1:5">
      <c r="A6100" s="8" t="str">
        <f t="shared" si="106"/>
        <v>250027</v>
      </c>
      <c r="B6100" s="8" t="str">
        <f>"2561407010726"</f>
        <v>2561407010726</v>
      </c>
      <c r="C6100" s="8" t="s">
        <v>13</v>
      </c>
      <c r="D6100" s="9">
        <v>0</v>
      </c>
      <c r="E6100" s="8">
        <v>188</v>
      </c>
    </row>
    <row r="6101" s="3" customFormat="1" ht="18.75" spans="1:5">
      <c r="A6101" s="8" t="str">
        <f t="shared" si="106"/>
        <v>250027</v>
      </c>
      <c r="B6101" s="8" t="str">
        <f>"2561407010729"</f>
        <v>2561407010729</v>
      </c>
      <c r="C6101" s="8" t="s">
        <v>13</v>
      </c>
      <c r="D6101" s="9">
        <v>0</v>
      </c>
      <c r="E6101" s="8">
        <v>188</v>
      </c>
    </row>
    <row r="6102" s="3" customFormat="1" ht="18.75" spans="1:5">
      <c r="A6102" s="8" t="str">
        <f t="shared" si="106"/>
        <v>250027</v>
      </c>
      <c r="B6102" s="8" t="str">
        <f>"2561407010807"</f>
        <v>2561407010807</v>
      </c>
      <c r="C6102" s="8" t="s">
        <v>13</v>
      </c>
      <c r="D6102" s="9">
        <v>0</v>
      </c>
      <c r="E6102" s="8">
        <v>188</v>
      </c>
    </row>
    <row r="6103" s="3" customFormat="1" ht="18.75" spans="1:5">
      <c r="A6103" s="8" t="str">
        <f t="shared" si="106"/>
        <v>250027</v>
      </c>
      <c r="B6103" s="8" t="str">
        <f>"2561407010808"</f>
        <v>2561407010808</v>
      </c>
      <c r="C6103" s="8" t="s">
        <v>13</v>
      </c>
      <c r="D6103" s="9">
        <v>0</v>
      </c>
      <c r="E6103" s="8">
        <v>188</v>
      </c>
    </row>
    <row r="6104" s="3" customFormat="1" ht="18.75" spans="1:5">
      <c r="A6104" s="8" t="str">
        <f t="shared" si="106"/>
        <v>250027</v>
      </c>
      <c r="B6104" s="8" t="str">
        <f>"2561407010809"</f>
        <v>2561407010809</v>
      </c>
      <c r="C6104" s="8" t="s">
        <v>13</v>
      </c>
      <c r="D6104" s="9">
        <v>0</v>
      </c>
      <c r="E6104" s="8">
        <v>188</v>
      </c>
    </row>
    <row r="6105" s="3" customFormat="1" ht="18.75" spans="1:5">
      <c r="A6105" s="8" t="str">
        <f t="shared" si="106"/>
        <v>250027</v>
      </c>
      <c r="B6105" s="8" t="str">
        <f>"2561407010811"</f>
        <v>2561407010811</v>
      </c>
      <c r="C6105" s="8" t="s">
        <v>13</v>
      </c>
      <c r="D6105" s="9">
        <v>0</v>
      </c>
      <c r="E6105" s="8">
        <v>188</v>
      </c>
    </row>
    <row r="6106" s="3" customFormat="1" ht="18.75" spans="1:5">
      <c r="A6106" s="8" t="str">
        <f t="shared" si="106"/>
        <v>250027</v>
      </c>
      <c r="B6106" s="8" t="str">
        <f>"2561407010813"</f>
        <v>2561407010813</v>
      </c>
      <c r="C6106" s="8" t="s">
        <v>13</v>
      </c>
      <c r="D6106" s="9">
        <v>0</v>
      </c>
      <c r="E6106" s="8">
        <v>188</v>
      </c>
    </row>
    <row r="6107" s="3" customFormat="1" ht="18.75" spans="1:5">
      <c r="A6107" s="8" t="str">
        <f t="shared" si="106"/>
        <v>250027</v>
      </c>
      <c r="B6107" s="8" t="str">
        <f>"2561407010814"</f>
        <v>2561407010814</v>
      </c>
      <c r="C6107" s="8" t="s">
        <v>13</v>
      </c>
      <c r="D6107" s="9">
        <v>0</v>
      </c>
      <c r="E6107" s="8">
        <v>188</v>
      </c>
    </row>
    <row r="6108" s="3" customFormat="1" ht="18.75" spans="1:5">
      <c r="A6108" s="8" t="str">
        <f t="shared" si="106"/>
        <v>250027</v>
      </c>
      <c r="B6108" s="8" t="str">
        <f>"2561407010816"</f>
        <v>2561407010816</v>
      </c>
      <c r="C6108" s="8" t="s">
        <v>13</v>
      </c>
      <c r="D6108" s="9">
        <v>0</v>
      </c>
      <c r="E6108" s="8">
        <v>188</v>
      </c>
    </row>
    <row r="6109" s="3" customFormat="1" ht="18.75" spans="1:5">
      <c r="A6109" s="8" t="str">
        <f t="shared" si="106"/>
        <v>250027</v>
      </c>
      <c r="B6109" s="8" t="str">
        <f>"2561407010817"</f>
        <v>2561407010817</v>
      </c>
      <c r="C6109" s="8" t="s">
        <v>13</v>
      </c>
      <c r="D6109" s="9">
        <v>0</v>
      </c>
      <c r="E6109" s="8">
        <v>188</v>
      </c>
    </row>
    <row r="6110" s="3" customFormat="1" ht="18.75" spans="1:5">
      <c r="A6110" s="8" t="str">
        <f t="shared" si="106"/>
        <v>250027</v>
      </c>
      <c r="B6110" s="8" t="str">
        <f>"2561407010821"</f>
        <v>2561407010821</v>
      </c>
      <c r="C6110" s="8" t="s">
        <v>13</v>
      </c>
      <c r="D6110" s="9">
        <v>0</v>
      </c>
      <c r="E6110" s="8">
        <v>188</v>
      </c>
    </row>
    <row r="6111" s="3" customFormat="1" ht="18.75" spans="1:5">
      <c r="A6111" s="8" t="str">
        <f t="shared" si="106"/>
        <v>250027</v>
      </c>
      <c r="B6111" s="8" t="str">
        <f>"2561407010822"</f>
        <v>2561407010822</v>
      </c>
      <c r="C6111" s="8" t="s">
        <v>13</v>
      </c>
      <c r="D6111" s="9">
        <v>0</v>
      </c>
      <c r="E6111" s="8">
        <v>188</v>
      </c>
    </row>
    <row r="6112" s="3" customFormat="1" ht="18.75" spans="1:5">
      <c r="A6112" s="8" t="str">
        <f t="shared" si="106"/>
        <v>250027</v>
      </c>
      <c r="B6112" s="8" t="str">
        <f>"2561407010826"</f>
        <v>2561407010826</v>
      </c>
      <c r="C6112" s="8" t="s">
        <v>13</v>
      </c>
      <c r="D6112" s="9">
        <v>0</v>
      </c>
      <c r="E6112" s="8">
        <v>188</v>
      </c>
    </row>
    <row r="6113" s="3" customFormat="1" ht="18.75" spans="1:5">
      <c r="A6113" s="8" t="str">
        <f t="shared" si="106"/>
        <v>250027</v>
      </c>
      <c r="B6113" s="8" t="str">
        <f>"2561407010828"</f>
        <v>2561407010828</v>
      </c>
      <c r="C6113" s="8" t="s">
        <v>13</v>
      </c>
      <c r="D6113" s="9">
        <v>0</v>
      </c>
      <c r="E6113" s="8">
        <v>188</v>
      </c>
    </row>
    <row r="6114" s="3" customFormat="1" ht="18.75" spans="1:5">
      <c r="A6114" s="8" t="str">
        <f t="shared" si="106"/>
        <v>250027</v>
      </c>
      <c r="B6114" s="8" t="str">
        <f>"2561407010829"</f>
        <v>2561407010829</v>
      </c>
      <c r="C6114" s="8" t="s">
        <v>13</v>
      </c>
      <c r="D6114" s="9">
        <v>0</v>
      </c>
      <c r="E6114" s="8">
        <v>188</v>
      </c>
    </row>
    <row r="6115" s="3" customFormat="1" ht="18.75" spans="1:5">
      <c r="A6115" s="8" t="str">
        <f t="shared" si="106"/>
        <v>250027</v>
      </c>
      <c r="B6115" s="8" t="str">
        <f>"2561407010903"</f>
        <v>2561407010903</v>
      </c>
      <c r="C6115" s="8" t="s">
        <v>13</v>
      </c>
      <c r="D6115" s="9">
        <v>0</v>
      </c>
      <c r="E6115" s="8">
        <v>188</v>
      </c>
    </row>
    <row r="6116" s="3" customFormat="1" ht="18.75" spans="1:5">
      <c r="A6116" s="8" t="str">
        <f t="shared" si="106"/>
        <v>250027</v>
      </c>
      <c r="B6116" s="8" t="str">
        <f>"2561407010911"</f>
        <v>2561407010911</v>
      </c>
      <c r="C6116" s="8" t="s">
        <v>13</v>
      </c>
      <c r="D6116" s="9">
        <v>0</v>
      </c>
      <c r="E6116" s="8">
        <v>188</v>
      </c>
    </row>
    <row r="6117" s="3" customFormat="1" ht="18.75" spans="1:5">
      <c r="A6117" s="8" t="str">
        <f t="shared" si="106"/>
        <v>250027</v>
      </c>
      <c r="B6117" s="8" t="str">
        <f>"2561407010912"</f>
        <v>2561407010912</v>
      </c>
      <c r="C6117" s="8" t="s">
        <v>13</v>
      </c>
      <c r="D6117" s="9">
        <v>0</v>
      </c>
      <c r="E6117" s="8">
        <v>188</v>
      </c>
    </row>
    <row r="6118" s="3" customFormat="1" ht="18.75" spans="1:5">
      <c r="A6118" s="8" t="str">
        <f t="shared" si="106"/>
        <v>250027</v>
      </c>
      <c r="B6118" s="8" t="str">
        <f>"2561407010914"</f>
        <v>2561407010914</v>
      </c>
      <c r="C6118" s="8" t="s">
        <v>13</v>
      </c>
      <c r="D6118" s="9">
        <v>0</v>
      </c>
      <c r="E6118" s="8">
        <v>188</v>
      </c>
    </row>
    <row r="6119" s="3" customFormat="1" ht="18.75" spans="1:5">
      <c r="A6119" s="8" t="str">
        <f t="shared" si="106"/>
        <v>250027</v>
      </c>
      <c r="B6119" s="8" t="str">
        <f>"2561407010916"</f>
        <v>2561407010916</v>
      </c>
      <c r="C6119" s="8" t="s">
        <v>13</v>
      </c>
      <c r="D6119" s="9">
        <v>0</v>
      </c>
      <c r="E6119" s="8">
        <v>188</v>
      </c>
    </row>
    <row r="6120" s="3" customFormat="1" ht="18.75" spans="1:5">
      <c r="A6120" s="8" t="str">
        <f t="shared" si="106"/>
        <v>250027</v>
      </c>
      <c r="B6120" s="8" t="str">
        <f>"2561407010930"</f>
        <v>2561407010930</v>
      </c>
      <c r="C6120" s="8" t="s">
        <v>13</v>
      </c>
      <c r="D6120" s="9">
        <v>0</v>
      </c>
      <c r="E6120" s="8">
        <v>188</v>
      </c>
    </row>
    <row r="6121" s="3" customFormat="1" ht="18.75" spans="1:5">
      <c r="A6121" s="8" t="str">
        <f t="shared" si="106"/>
        <v>250027</v>
      </c>
      <c r="B6121" s="8" t="str">
        <f>"2561407011002"</f>
        <v>2561407011002</v>
      </c>
      <c r="C6121" s="8" t="s">
        <v>13</v>
      </c>
      <c r="D6121" s="9">
        <v>0</v>
      </c>
      <c r="E6121" s="8">
        <v>188</v>
      </c>
    </row>
    <row r="6122" s="3" customFormat="1" ht="18.75" spans="1:5">
      <c r="A6122" s="8" t="str">
        <f t="shared" si="106"/>
        <v>250027</v>
      </c>
      <c r="B6122" s="8" t="str">
        <f>"2561407011004"</f>
        <v>2561407011004</v>
      </c>
      <c r="C6122" s="8" t="s">
        <v>13</v>
      </c>
      <c r="D6122" s="9">
        <v>0</v>
      </c>
      <c r="E6122" s="8">
        <v>188</v>
      </c>
    </row>
    <row r="6123" s="3" customFormat="1" ht="18.75" spans="1:5">
      <c r="A6123" s="8" t="str">
        <f t="shared" si="106"/>
        <v>250027</v>
      </c>
      <c r="B6123" s="8" t="str">
        <f>"2561407011005"</f>
        <v>2561407011005</v>
      </c>
      <c r="C6123" s="8" t="s">
        <v>13</v>
      </c>
      <c r="D6123" s="9">
        <v>0</v>
      </c>
      <c r="E6123" s="8">
        <v>188</v>
      </c>
    </row>
    <row r="6124" s="3" customFormat="1" ht="18.75" spans="1:5">
      <c r="A6124" s="8" t="str">
        <f t="shared" si="106"/>
        <v>250027</v>
      </c>
      <c r="B6124" s="8" t="str">
        <f>"2561407011006"</f>
        <v>2561407011006</v>
      </c>
      <c r="C6124" s="8" t="s">
        <v>13</v>
      </c>
      <c r="D6124" s="9">
        <v>0</v>
      </c>
      <c r="E6124" s="8">
        <v>188</v>
      </c>
    </row>
    <row r="6125" s="3" customFormat="1" ht="18.75" spans="1:5">
      <c r="A6125" s="8" t="str">
        <f t="shared" si="106"/>
        <v>250027</v>
      </c>
      <c r="B6125" s="8" t="str">
        <f>"2561407011007"</f>
        <v>2561407011007</v>
      </c>
      <c r="C6125" s="8" t="s">
        <v>13</v>
      </c>
      <c r="D6125" s="9">
        <v>0</v>
      </c>
      <c r="E6125" s="8">
        <v>188</v>
      </c>
    </row>
    <row r="6126" s="3" customFormat="1" ht="18.75" spans="1:5">
      <c r="A6126" s="8" t="str">
        <f t="shared" si="106"/>
        <v>250027</v>
      </c>
      <c r="B6126" s="8" t="str">
        <f>"2561407011009"</f>
        <v>2561407011009</v>
      </c>
      <c r="C6126" s="8" t="s">
        <v>13</v>
      </c>
      <c r="D6126" s="9">
        <v>0</v>
      </c>
      <c r="E6126" s="8">
        <v>188</v>
      </c>
    </row>
    <row r="6127" s="3" customFormat="1" ht="18.75" spans="1:5">
      <c r="A6127" s="8" t="str">
        <f t="shared" ref="A6127:A6145" si="107">"250027"</f>
        <v>250027</v>
      </c>
      <c r="B6127" s="8" t="str">
        <f>"2561407011012"</f>
        <v>2561407011012</v>
      </c>
      <c r="C6127" s="8" t="s">
        <v>13</v>
      </c>
      <c r="D6127" s="9">
        <v>0</v>
      </c>
      <c r="E6127" s="8">
        <v>188</v>
      </c>
    </row>
    <row r="6128" s="3" customFormat="1" ht="18.75" spans="1:5">
      <c r="A6128" s="8" t="str">
        <f t="shared" si="107"/>
        <v>250027</v>
      </c>
      <c r="B6128" s="8" t="str">
        <f>"2561407011013"</f>
        <v>2561407011013</v>
      </c>
      <c r="C6128" s="8" t="s">
        <v>13</v>
      </c>
      <c r="D6128" s="9">
        <v>0</v>
      </c>
      <c r="E6128" s="8">
        <v>188</v>
      </c>
    </row>
    <row r="6129" s="3" customFormat="1" ht="18.75" spans="1:5">
      <c r="A6129" s="8" t="str">
        <f t="shared" si="107"/>
        <v>250027</v>
      </c>
      <c r="B6129" s="8" t="str">
        <f>"2561407011018"</f>
        <v>2561407011018</v>
      </c>
      <c r="C6129" s="8" t="s">
        <v>13</v>
      </c>
      <c r="D6129" s="9">
        <v>0</v>
      </c>
      <c r="E6129" s="8">
        <v>188</v>
      </c>
    </row>
    <row r="6130" s="3" customFormat="1" ht="18.75" spans="1:5">
      <c r="A6130" s="8" t="str">
        <f t="shared" si="107"/>
        <v>250027</v>
      </c>
      <c r="B6130" s="8" t="str">
        <f>"2561407011026"</f>
        <v>2561407011026</v>
      </c>
      <c r="C6130" s="8" t="s">
        <v>13</v>
      </c>
      <c r="D6130" s="9">
        <v>0</v>
      </c>
      <c r="E6130" s="8">
        <v>188</v>
      </c>
    </row>
    <row r="6131" s="3" customFormat="1" ht="18.75" spans="1:5">
      <c r="A6131" s="8" t="str">
        <f t="shared" si="107"/>
        <v>250027</v>
      </c>
      <c r="B6131" s="8" t="str">
        <f>"2561407011027"</f>
        <v>2561407011027</v>
      </c>
      <c r="C6131" s="8" t="s">
        <v>13</v>
      </c>
      <c r="D6131" s="9">
        <v>0</v>
      </c>
      <c r="E6131" s="8">
        <v>188</v>
      </c>
    </row>
    <row r="6132" s="3" customFormat="1" ht="18.75" spans="1:5">
      <c r="A6132" s="8" t="str">
        <f t="shared" si="107"/>
        <v>250027</v>
      </c>
      <c r="B6132" s="8" t="str">
        <f>"2561407011112"</f>
        <v>2561407011112</v>
      </c>
      <c r="C6132" s="8" t="s">
        <v>13</v>
      </c>
      <c r="D6132" s="9">
        <v>0</v>
      </c>
      <c r="E6132" s="8">
        <v>188</v>
      </c>
    </row>
    <row r="6133" s="3" customFormat="1" ht="18.75" spans="1:5">
      <c r="A6133" s="8" t="str">
        <f t="shared" si="107"/>
        <v>250027</v>
      </c>
      <c r="B6133" s="8" t="str">
        <f>"2561407011113"</f>
        <v>2561407011113</v>
      </c>
      <c r="C6133" s="8" t="s">
        <v>13</v>
      </c>
      <c r="D6133" s="9">
        <v>0</v>
      </c>
      <c r="E6133" s="8">
        <v>188</v>
      </c>
    </row>
    <row r="6134" s="3" customFormat="1" ht="18.75" spans="1:5">
      <c r="A6134" s="8" t="str">
        <f t="shared" si="107"/>
        <v>250027</v>
      </c>
      <c r="B6134" s="8" t="str">
        <f>"2561407011116"</f>
        <v>2561407011116</v>
      </c>
      <c r="C6134" s="8" t="s">
        <v>13</v>
      </c>
      <c r="D6134" s="9">
        <v>0</v>
      </c>
      <c r="E6134" s="8">
        <v>188</v>
      </c>
    </row>
    <row r="6135" s="3" customFormat="1" ht="18.75" spans="1:5">
      <c r="A6135" s="8" t="str">
        <f t="shared" si="107"/>
        <v>250027</v>
      </c>
      <c r="B6135" s="8" t="str">
        <f>"2561407011117"</f>
        <v>2561407011117</v>
      </c>
      <c r="C6135" s="8" t="s">
        <v>13</v>
      </c>
      <c r="D6135" s="9">
        <v>0</v>
      </c>
      <c r="E6135" s="8">
        <v>188</v>
      </c>
    </row>
    <row r="6136" s="3" customFormat="1" ht="18.75" spans="1:5">
      <c r="A6136" s="8" t="str">
        <f t="shared" si="107"/>
        <v>250027</v>
      </c>
      <c r="B6136" s="8" t="str">
        <f>"2561407011119"</f>
        <v>2561407011119</v>
      </c>
      <c r="C6136" s="8" t="s">
        <v>13</v>
      </c>
      <c r="D6136" s="9">
        <v>0</v>
      </c>
      <c r="E6136" s="8">
        <v>188</v>
      </c>
    </row>
    <row r="6137" s="3" customFormat="1" ht="18.75" spans="1:5">
      <c r="A6137" s="8" t="str">
        <f t="shared" si="107"/>
        <v>250027</v>
      </c>
      <c r="B6137" s="8" t="str">
        <f>"2561407011124"</f>
        <v>2561407011124</v>
      </c>
      <c r="C6137" s="8" t="s">
        <v>13</v>
      </c>
      <c r="D6137" s="9">
        <v>0</v>
      </c>
      <c r="E6137" s="8">
        <v>188</v>
      </c>
    </row>
    <row r="6138" s="3" customFormat="1" ht="18.75" spans="1:5">
      <c r="A6138" s="8" t="str">
        <f t="shared" si="107"/>
        <v>250027</v>
      </c>
      <c r="B6138" s="8" t="str">
        <f>"2561407011126"</f>
        <v>2561407011126</v>
      </c>
      <c r="C6138" s="8" t="s">
        <v>13</v>
      </c>
      <c r="D6138" s="9">
        <v>0</v>
      </c>
      <c r="E6138" s="8">
        <v>188</v>
      </c>
    </row>
    <row r="6139" s="3" customFormat="1" ht="18.75" spans="1:5">
      <c r="A6139" s="8" t="str">
        <f t="shared" si="107"/>
        <v>250027</v>
      </c>
      <c r="B6139" s="8" t="str">
        <f>"2561407011127"</f>
        <v>2561407011127</v>
      </c>
      <c r="C6139" s="8" t="s">
        <v>13</v>
      </c>
      <c r="D6139" s="9">
        <v>0</v>
      </c>
      <c r="E6139" s="8">
        <v>188</v>
      </c>
    </row>
    <row r="6140" s="3" customFormat="1" ht="18.75" spans="1:5">
      <c r="A6140" s="8" t="str">
        <f t="shared" si="107"/>
        <v>250027</v>
      </c>
      <c r="B6140" s="8" t="str">
        <f>"2561407011128"</f>
        <v>2561407011128</v>
      </c>
      <c r="C6140" s="8" t="s">
        <v>13</v>
      </c>
      <c r="D6140" s="9">
        <v>0</v>
      </c>
      <c r="E6140" s="8">
        <v>188</v>
      </c>
    </row>
    <row r="6141" s="3" customFormat="1" ht="18.75" spans="1:5">
      <c r="A6141" s="8" t="str">
        <f t="shared" si="107"/>
        <v>250027</v>
      </c>
      <c r="B6141" s="8" t="str">
        <f>"2561407011129"</f>
        <v>2561407011129</v>
      </c>
      <c r="C6141" s="8" t="s">
        <v>13</v>
      </c>
      <c r="D6141" s="9">
        <v>0</v>
      </c>
      <c r="E6141" s="8">
        <v>188</v>
      </c>
    </row>
    <row r="6142" s="3" customFormat="1" ht="18.75" spans="1:5">
      <c r="A6142" s="8" t="str">
        <f t="shared" si="107"/>
        <v>250027</v>
      </c>
      <c r="B6142" s="8" t="str">
        <f>"2561407011201"</f>
        <v>2561407011201</v>
      </c>
      <c r="C6142" s="8" t="s">
        <v>13</v>
      </c>
      <c r="D6142" s="9">
        <v>0</v>
      </c>
      <c r="E6142" s="8">
        <v>188</v>
      </c>
    </row>
    <row r="6143" s="3" customFormat="1" ht="18.75" spans="1:5">
      <c r="A6143" s="8" t="str">
        <f t="shared" si="107"/>
        <v>250027</v>
      </c>
      <c r="B6143" s="8" t="str">
        <f>"2561407011202"</f>
        <v>2561407011202</v>
      </c>
      <c r="C6143" s="8" t="s">
        <v>13</v>
      </c>
      <c r="D6143" s="9">
        <v>0</v>
      </c>
      <c r="E6143" s="8">
        <v>188</v>
      </c>
    </row>
    <row r="6144" s="3" customFormat="1" ht="18.75" spans="1:5">
      <c r="A6144" s="8" t="str">
        <f t="shared" si="107"/>
        <v>250027</v>
      </c>
      <c r="B6144" s="8" t="str">
        <f>"2561407011208"</f>
        <v>2561407011208</v>
      </c>
      <c r="C6144" s="8" t="s">
        <v>13</v>
      </c>
      <c r="D6144" s="9">
        <v>0</v>
      </c>
      <c r="E6144" s="8">
        <v>188</v>
      </c>
    </row>
    <row r="6145" s="3" customFormat="1" ht="18.75" spans="1:5">
      <c r="A6145" s="8" t="str">
        <f t="shared" si="107"/>
        <v>250027</v>
      </c>
      <c r="B6145" s="8" t="str">
        <f>"2561407011209"</f>
        <v>2561407011209</v>
      </c>
      <c r="C6145" s="8" t="s">
        <v>13</v>
      </c>
      <c r="D6145" s="9">
        <v>0</v>
      </c>
      <c r="E6145" s="8">
        <v>188</v>
      </c>
    </row>
    <row r="6146" s="3" customFormat="1" ht="18.75" spans="1:5">
      <c r="A6146" s="8" t="str">
        <f t="shared" ref="A6146:A6209" si="108">"250028"</f>
        <v>250028</v>
      </c>
      <c r="B6146" s="8" t="str">
        <f>"2561407011806"</f>
        <v>2561407011806</v>
      </c>
      <c r="C6146" s="8" t="s">
        <v>13</v>
      </c>
      <c r="D6146" s="9">
        <v>75.16</v>
      </c>
      <c r="E6146" s="8">
        <v>1</v>
      </c>
    </row>
    <row r="6147" s="3" customFormat="1" ht="18.75" spans="1:5">
      <c r="A6147" s="8" t="str">
        <f t="shared" si="108"/>
        <v>250028</v>
      </c>
      <c r="B6147" s="8" t="str">
        <f>"2561407012001"</f>
        <v>2561407012001</v>
      </c>
      <c r="C6147" s="8" t="s">
        <v>13</v>
      </c>
      <c r="D6147" s="9">
        <v>70.78</v>
      </c>
      <c r="E6147" s="8">
        <v>2</v>
      </c>
    </row>
    <row r="6148" s="3" customFormat="1" ht="18.75" spans="1:5">
      <c r="A6148" s="8" t="str">
        <f t="shared" si="108"/>
        <v>250028</v>
      </c>
      <c r="B6148" s="8" t="str">
        <f>"2561407011323"</f>
        <v>2561407011323</v>
      </c>
      <c r="C6148" s="8" t="s">
        <v>13</v>
      </c>
      <c r="D6148" s="9">
        <v>69.78</v>
      </c>
      <c r="E6148" s="8">
        <v>3</v>
      </c>
    </row>
    <row r="6149" s="3" customFormat="1" ht="18.75" spans="1:5">
      <c r="A6149" s="8" t="str">
        <f t="shared" si="108"/>
        <v>250028</v>
      </c>
      <c r="B6149" s="8" t="str">
        <f>"2561407011703"</f>
        <v>2561407011703</v>
      </c>
      <c r="C6149" s="8" t="s">
        <v>13</v>
      </c>
      <c r="D6149" s="9">
        <v>69.5</v>
      </c>
      <c r="E6149" s="8">
        <v>4</v>
      </c>
    </row>
    <row r="6150" s="3" customFormat="1" ht="18.75" spans="1:5">
      <c r="A6150" s="8" t="str">
        <f t="shared" si="108"/>
        <v>250028</v>
      </c>
      <c r="B6150" s="8" t="str">
        <f>"2561407011504"</f>
        <v>2561407011504</v>
      </c>
      <c r="C6150" s="8" t="s">
        <v>13</v>
      </c>
      <c r="D6150" s="9">
        <v>69.41</v>
      </c>
      <c r="E6150" s="8">
        <v>5</v>
      </c>
    </row>
    <row r="6151" s="3" customFormat="1" ht="18.75" spans="1:5">
      <c r="A6151" s="8" t="str">
        <f t="shared" si="108"/>
        <v>250028</v>
      </c>
      <c r="B6151" s="8" t="str">
        <f>"2561407011503"</f>
        <v>2561407011503</v>
      </c>
      <c r="C6151" s="8" t="s">
        <v>13</v>
      </c>
      <c r="D6151" s="9">
        <v>68.97</v>
      </c>
      <c r="E6151" s="8">
        <v>6</v>
      </c>
    </row>
    <row r="6152" s="3" customFormat="1" ht="18.75" spans="1:5">
      <c r="A6152" s="8" t="str">
        <f t="shared" si="108"/>
        <v>250028</v>
      </c>
      <c r="B6152" s="8" t="str">
        <f>"2561407011923"</f>
        <v>2561407011923</v>
      </c>
      <c r="C6152" s="8" t="s">
        <v>13</v>
      </c>
      <c r="D6152" s="9">
        <v>67.77</v>
      </c>
      <c r="E6152" s="8">
        <v>7</v>
      </c>
    </row>
    <row r="6153" s="3" customFormat="1" ht="18.75" spans="1:5">
      <c r="A6153" s="8" t="str">
        <f t="shared" si="108"/>
        <v>250028</v>
      </c>
      <c r="B6153" s="8" t="str">
        <f>"2561407011909"</f>
        <v>2561407011909</v>
      </c>
      <c r="C6153" s="8" t="s">
        <v>13</v>
      </c>
      <c r="D6153" s="9">
        <v>66.8</v>
      </c>
      <c r="E6153" s="8">
        <v>8</v>
      </c>
    </row>
    <row r="6154" s="3" customFormat="1" ht="18.75" spans="1:5">
      <c r="A6154" s="8" t="str">
        <f t="shared" si="108"/>
        <v>250028</v>
      </c>
      <c r="B6154" s="8" t="str">
        <f>"2561407011812"</f>
        <v>2561407011812</v>
      </c>
      <c r="C6154" s="8" t="s">
        <v>13</v>
      </c>
      <c r="D6154" s="9">
        <v>66.51</v>
      </c>
      <c r="E6154" s="8">
        <v>9</v>
      </c>
    </row>
    <row r="6155" s="3" customFormat="1" ht="18.75" spans="1:5">
      <c r="A6155" s="8" t="str">
        <f t="shared" si="108"/>
        <v>250028</v>
      </c>
      <c r="B6155" s="8" t="str">
        <f>"2561407011318"</f>
        <v>2561407011318</v>
      </c>
      <c r="C6155" s="8" t="s">
        <v>13</v>
      </c>
      <c r="D6155" s="9">
        <v>66.46</v>
      </c>
      <c r="E6155" s="8">
        <v>10</v>
      </c>
    </row>
    <row r="6156" s="3" customFormat="1" ht="18.75" spans="1:5">
      <c r="A6156" s="8" t="str">
        <f t="shared" si="108"/>
        <v>250028</v>
      </c>
      <c r="B6156" s="8" t="str">
        <f>"2561407011722"</f>
        <v>2561407011722</v>
      </c>
      <c r="C6156" s="8" t="s">
        <v>13</v>
      </c>
      <c r="D6156" s="9">
        <v>66.29</v>
      </c>
      <c r="E6156" s="8">
        <v>11</v>
      </c>
    </row>
    <row r="6157" s="3" customFormat="1" ht="18.75" spans="1:5">
      <c r="A6157" s="8" t="str">
        <f t="shared" si="108"/>
        <v>250028</v>
      </c>
      <c r="B6157" s="8" t="str">
        <f>"2561407012005"</f>
        <v>2561407012005</v>
      </c>
      <c r="C6157" s="8" t="s">
        <v>13</v>
      </c>
      <c r="D6157" s="9">
        <v>66.13</v>
      </c>
      <c r="E6157" s="8">
        <v>12</v>
      </c>
    </row>
    <row r="6158" s="3" customFormat="1" ht="18.75" spans="1:5">
      <c r="A6158" s="8" t="str">
        <f t="shared" si="108"/>
        <v>250028</v>
      </c>
      <c r="B6158" s="8" t="str">
        <f>"2561407012202"</f>
        <v>2561407012202</v>
      </c>
      <c r="C6158" s="8" t="s">
        <v>13</v>
      </c>
      <c r="D6158" s="9">
        <v>66.01</v>
      </c>
      <c r="E6158" s="8">
        <v>13</v>
      </c>
    </row>
    <row r="6159" s="3" customFormat="1" ht="18.75" spans="1:5">
      <c r="A6159" s="8" t="str">
        <f t="shared" si="108"/>
        <v>250028</v>
      </c>
      <c r="B6159" s="8" t="str">
        <f>"2561407012017"</f>
        <v>2561407012017</v>
      </c>
      <c r="C6159" s="8" t="s">
        <v>13</v>
      </c>
      <c r="D6159" s="9">
        <v>65.99</v>
      </c>
      <c r="E6159" s="8">
        <v>14</v>
      </c>
    </row>
    <row r="6160" s="3" customFormat="1" ht="18.75" spans="1:5">
      <c r="A6160" s="8" t="str">
        <f t="shared" si="108"/>
        <v>250028</v>
      </c>
      <c r="B6160" s="8" t="str">
        <f>"2561407011808"</f>
        <v>2561407011808</v>
      </c>
      <c r="C6160" s="8" t="s">
        <v>13</v>
      </c>
      <c r="D6160" s="9">
        <v>65.96</v>
      </c>
      <c r="E6160" s="8">
        <v>15</v>
      </c>
    </row>
    <row r="6161" s="3" customFormat="1" ht="18.75" spans="1:5">
      <c r="A6161" s="8" t="str">
        <f t="shared" si="108"/>
        <v>250028</v>
      </c>
      <c r="B6161" s="8" t="str">
        <f>"2561407011605"</f>
        <v>2561407011605</v>
      </c>
      <c r="C6161" s="8" t="s">
        <v>13</v>
      </c>
      <c r="D6161" s="9">
        <v>65.71</v>
      </c>
      <c r="E6161" s="8">
        <v>16</v>
      </c>
    </row>
    <row r="6162" s="3" customFormat="1" ht="18.75" spans="1:5">
      <c r="A6162" s="8" t="str">
        <f t="shared" si="108"/>
        <v>250028</v>
      </c>
      <c r="B6162" s="8" t="str">
        <f>"2561407011711"</f>
        <v>2561407011711</v>
      </c>
      <c r="C6162" s="8" t="s">
        <v>13</v>
      </c>
      <c r="D6162" s="9">
        <v>65.31</v>
      </c>
      <c r="E6162" s="8">
        <v>17</v>
      </c>
    </row>
    <row r="6163" s="3" customFormat="1" ht="18.75" spans="1:5">
      <c r="A6163" s="8" t="str">
        <f t="shared" si="108"/>
        <v>250028</v>
      </c>
      <c r="B6163" s="8" t="str">
        <f>"2561407012207"</f>
        <v>2561407012207</v>
      </c>
      <c r="C6163" s="8" t="s">
        <v>13</v>
      </c>
      <c r="D6163" s="9">
        <v>65.16</v>
      </c>
      <c r="E6163" s="8">
        <v>18</v>
      </c>
    </row>
    <row r="6164" s="3" customFormat="1" ht="18.75" spans="1:5">
      <c r="A6164" s="8" t="str">
        <f t="shared" si="108"/>
        <v>250028</v>
      </c>
      <c r="B6164" s="8" t="str">
        <f>"2561407011221"</f>
        <v>2561407011221</v>
      </c>
      <c r="C6164" s="8" t="s">
        <v>13</v>
      </c>
      <c r="D6164" s="9">
        <v>65.11</v>
      </c>
      <c r="E6164" s="8">
        <v>19</v>
      </c>
    </row>
    <row r="6165" s="3" customFormat="1" ht="18.75" spans="1:5">
      <c r="A6165" s="8" t="str">
        <f t="shared" si="108"/>
        <v>250028</v>
      </c>
      <c r="B6165" s="8" t="str">
        <f>"2561407012028"</f>
        <v>2561407012028</v>
      </c>
      <c r="C6165" s="8" t="s">
        <v>13</v>
      </c>
      <c r="D6165" s="9">
        <v>64.95</v>
      </c>
      <c r="E6165" s="8">
        <v>20</v>
      </c>
    </row>
    <row r="6166" s="3" customFormat="1" ht="18.75" spans="1:5">
      <c r="A6166" s="8" t="str">
        <f t="shared" si="108"/>
        <v>250028</v>
      </c>
      <c r="B6166" s="8" t="str">
        <f>"2561407011218"</f>
        <v>2561407011218</v>
      </c>
      <c r="C6166" s="8" t="s">
        <v>13</v>
      </c>
      <c r="D6166" s="9">
        <v>64.79</v>
      </c>
      <c r="E6166" s="8">
        <v>21</v>
      </c>
    </row>
    <row r="6167" s="3" customFormat="1" ht="18.75" spans="1:5">
      <c r="A6167" s="8" t="str">
        <f t="shared" si="108"/>
        <v>250028</v>
      </c>
      <c r="B6167" s="8" t="str">
        <f>"2561407011210"</f>
        <v>2561407011210</v>
      </c>
      <c r="C6167" s="8" t="s">
        <v>13</v>
      </c>
      <c r="D6167" s="9">
        <v>64.44</v>
      </c>
      <c r="E6167" s="8">
        <v>22</v>
      </c>
    </row>
    <row r="6168" s="3" customFormat="1" ht="18.75" spans="1:5">
      <c r="A6168" s="8" t="str">
        <f t="shared" si="108"/>
        <v>250028</v>
      </c>
      <c r="B6168" s="8" t="str">
        <f>"2561407012111"</f>
        <v>2561407012111</v>
      </c>
      <c r="C6168" s="8" t="s">
        <v>13</v>
      </c>
      <c r="D6168" s="9">
        <v>64.41</v>
      </c>
      <c r="E6168" s="8">
        <v>23</v>
      </c>
    </row>
    <row r="6169" s="3" customFormat="1" ht="18.75" spans="1:5">
      <c r="A6169" s="8" t="str">
        <f t="shared" si="108"/>
        <v>250028</v>
      </c>
      <c r="B6169" s="8" t="str">
        <f>"2561407011328"</f>
        <v>2561407011328</v>
      </c>
      <c r="C6169" s="8" t="s">
        <v>13</v>
      </c>
      <c r="D6169" s="9">
        <v>64.39</v>
      </c>
      <c r="E6169" s="8">
        <v>24</v>
      </c>
    </row>
    <row r="6170" s="3" customFormat="1" ht="18.75" spans="1:5">
      <c r="A6170" s="8" t="str">
        <f t="shared" si="108"/>
        <v>250028</v>
      </c>
      <c r="B6170" s="8" t="str">
        <f>"2561407011929"</f>
        <v>2561407011929</v>
      </c>
      <c r="C6170" s="8" t="s">
        <v>13</v>
      </c>
      <c r="D6170" s="9">
        <v>64.32</v>
      </c>
      <c r="E6170" s="8">
        <v>25</v>
      </c>
    </row>
    <row r="6171" s="3" customFormat="1" ht="18.75" spans="1:5">
      <c r="A6171" s="8" t="str">
        <f t="shared" si="108"/>
        <v>250028</v>
      </c>
      <c r="B6171" s="8" t="str">
        <f>"2561407011527"</f>
        <v>2561407011527</v>
      </c>
      <c r="C6171" s="8" t="s">
        <v>13</v>
      </c>
      <c r="D6171" s="9">
        <v>63.39</v>
      </c>
      <c r="E6171" s="8">
        <v>26</v>
      </c>
    </row>
    <row r="6172" s="3" customFormat="1" ht="18.75" spans="1:5">
      <c r="A6172" s="8" t="str">
        <f t="shared" si="108"/>
        <v>250028</v>
      </c>
      <c r="B6172" s="8" t="str">
        <f>"2561407011728"</f>
        <v>2561407011728</v>
      </c>
      <c r="C6172" s="8" t="s">
        <v>13</v>
      </c>
      <c r="D6172" s="9">
        <v>63.17</v>
      </c>
      <c r="E6172" s="8">
        <v>27</v>
      </c>
    </row>
    <row r="6173" s="3" customFormat="1" ht="18.75" spans="1:5">
      <c r="A6173" s="8" t="str">
        <f t="shared" si="108"/>
        <v>250028</v>
      </c>
      <c r="B6173" s="8" t="str">
        <f>"2561407011302"</f>
        <v>2561407011302</v>
      </c>
      <c r="C6173" s="8" t="s">
        <v>13</v>
      </c>
      <c r="D6173" s="9">
        <v>63.1</v>
      </c>
      <c r="E6173" s="8">
        <v>28</v>
      </c>
    </row>
    <row r="6174" s="3" customFormat="1" ht="18.75" spans="1:5">
      <c r="A6174" s="8" t="str">
        <f t="shared" si="108"/>
        <v>250028</v>
      </c>
      <c r="B6174" s="8" t="str">
        <f>"2561407011818"</f>
        <v>2561407011818</v>
      </c>
      <c r="C6174" s="8" t="s">
        <v>13</v>
      </c>
      <c r="D6174" s="9">
        <v>63.06</v>
      </c>
      <c r="E6174" s="8">
        <v>29</v>
      </c>
    </row>
    <row r="6175" s="3" customFormat="1" ht="18.75" spans="1:5">
      <c r="A6175" s="8" t="str">
        <f t="shared" si="108"/>
        <v>250028</v>
      </c>
      <c r="B6175" s="8" t="str">
        <f>"2561407012030"</f>
        <v>2561407012030</v>
      </c>
      <c r="C6175" s="8" t="s">
        <v>13</v>
      </c>
      <c r="D6175" s="9">
        <v>62.45</v>
      </c>
      <c r="E6175" s="8">
        <v>30</v>
      </c>
    </row>
    <row r="6176" s="3" customFormat="1" ht="18.75" spans="1:5">
      <c r="A6176" s="8" t="str">
        <f t="shared" si="108"/>
        <v>250028</v>
      </c>
      <c r="B6176" s="8" t="str">
        <f>"2561407011608"</f>
        <v>2561407011608</v>
      </c>
      <c r="C6176" s="8" t="s">
        <v>13</v>
      </c>
      <c r="D6176" s="9">
        <v>62.44</v>
      </c>
      <c r="E6176" s="8">
        <v>31</v>
      </c>
    </row>
    <row r="6177" s="3" customFormat="1" ht="18.75" spans="1:5">
      <c r="A6177" s="8" t="str">
        <f t="shared" si="108"/>
        <v>250028</v>
      </c>
      <c r="B6177" s="8" t="str">
        <f>"2561407011918"</f>
        <v>2561407011918</v>
      </c>
      <c r="C6177" s="8" t="s">
        <v>13</v>
      </c>
      <c r="D6177" s="9">
        <v>62.23</v>
      </c>
      <c r="E6177" s="8">
        <v>32</v>
      </c>
    </row>
    <row r="6178" s="3" customFormat="1" ht="18.75" spans="1:5">
      <c r="A6178" s="8" t="str">
        <f t="shared" si="108"/>
        <v>250028</v>
      </c>
      <c r="B6178" s="8" t="str">
        <f>"2561407011505"</f>
        <v>2561407011505</v>
      </c>
      <c r="C6178" s="8" t="s">
        <v>13</v>
      </c>
      <c r="D6178" s="9">
        <v>62.18</v>
      </c>
      <c r="E6178" s="8">
        <v>33</v>
      </c>
    </row>
    <row r="6179" s="3" customFormat="1" ht="18.75" spans="1:5">
      <c r="A6179" s="8" t="str">
        <f t="shared" si="108"/>
        <v>250028</v>
      </c>
      <c r="B6179" s="8" t="str">
        <f>"2561407011522"</f>
        <v>2561407011522</v>
      </c>
      <c r="C6179" s="8" t="s">
        <v>13</v>
      </c>
      <c r="D6179" s="9">
        <v>61.89</v>
      </c>
      <c r="E6179" s="8">
        <v>34</v>
      </c>
    </row>
    <row r="6180" s="3" customFormat="1" ht="18.75" spans="1:5">
      <c r="A6180" s="8" t="str">
        <f t="shared" si="108"/>
        <v>250028</v>
      </c>
      <c r="B6180" s="8" t="str">
        <f>"2561407011223"</f>
        <v>2561407011223</v>
      </c>
      <c r="C6180" s="8" t="s">
        <v>13</v>
      </c>
      <c r="D6180" s="9">
        <v>61.22</v>
      </c>
      <c r="E6180" s="8">
        <v>35</v>
      </c>
    </row>
    <row r="6181" s="3" customFormat="1" ht="18.75" spans="1:5">
      <c r="A6181" s="8" t="str">
        <f t="shared" si="108"/>
        <v>250028</v>
      </c>
      <c r="B6181" s="8" t="str">
        <f>"2561407011416"</f>
        <v>2561407011416</v>
      </c>
      <c r="C6181" s="8" t="s">
        <v>13</v>
      </c>
      <c r="D6181" s="9">
        <v>61.21</v>
      </c>
      <c r="E6181" s="8">
        <v>36</v>
      </c>
    </row>
    <row r="6182" s="3" customFormat="1" ht="18.75" spans="1:5">
      <c r="A6182" s="8" t="str">
        <f t="shared" si="108"/>
        <v>250028</v>
      </c>
      <c r="B6182" s="8" t="str">
        <f>"2561407012103"</f>
        <v>2561407012103</v>
      </c>
      <c r="C6182" s="8" t="s">
        <v>13</v>
      </c>
      <c r="D6182" s="9">
        <v>61.05</v>
      </c>
      <c r="E6182" s="8">
        <v>37</v>
      </c>
    </row>
    <row r="6183" s="3" customFormat="1" ht="18.75" spans="1:5">
      <c r="A6183" s="8" t="str">
        <f t="shared" si="108"/>
        <v>250028</v>
      </c>
      <c r="B6183" s="8" t="str">
        <f>"2561407011422"</f>
        <v>2561407011422</v>
      </c>
      <c r="C6183" s="8" t="s">
        <v>13</v>
      </c>
      <c r="D6183" s="9">
        <v>61</v>
      </c>
      <c r="E6183" s="8">
        <v>38</v>
      </c>
    </row>
    <row r="6184" s="3" customFormat="1" ht="18.75" spans="1:5">
      <c r="A6184" s="8" t="str">
        <f t="shared" si="108"/>
        <v>250028</v>
      </c>
      <c r="B6184" s="8" t="str">
        <f>"2561407011430"</f>
        <v>2561407011430</v>
      </c>
      <c r="C6184" s="8" t="s">
        <v>13</v>
      </c>
      <c r="D6184" s="9">
        <v>60.96</v>
      </c>
      <c r="E6184" s="8">
        <v>39</v>
      </c>
    </row>
    <row r="6185" s="3" customFormat="1" ht="18.75" spans="1:5">
      <c r="A6185" s="8" t="str">
        <f t="shared" si="108"/>
        <v>250028</v>
      </c>
      <c r="B6185" s="8" t="str">
        <f>"2561407012212"</f>
        <v>2561407012212</v>
      </c>
      <c r="C6185" s="8" t="s">
        <v>13</v>
      </c>
      <c r="D6185" s="9">
        <v>60.88</v>
      </c>
      <c r="E6185" s="8">
        <v>40</v>
      </c>
    </row>
    <row r="6186" s="3" customFormat="1" ht="18.75" spans="1:5">
      <c r="A6186" s="8" t="str">
        <f t="shared" si="108"/>
        <v>250028</v>
      </c>
      <c r="B6186" s="8" t="str">
        <f>"2561407011326"</f>
        <v>2561407011326</v>
      </c>
      <c r="C6186" s="8" t="s">
        <v>13</v>
      </c>
      <c r="D6186" s="9">
        <v>60.66</v>
      </c>
      <c r="E6186" s="8">
        <v>41</v>
      </c>
    </row>
    <row r="6187" s="3" customFormat="1" ht="18.75" spans="1:5">
      <c r="A6187" s="8" t="str">
        <f t="shared" si="108"/>
        <v>250028</v>
      </c>
      <c r="B6187" s="8" t="str">
        <f>"2561407012011"</f>
        <v>2561407012011</v>
      </c>
      <c r="C6187" s="8" t="s">
        <v>13</v>
      </c>
      <c r="D6187" s="9">
        <v>60.5</v>
      </c>
      <c r="E6187" s="8">
        <v>42</v>
      </c>
    </row>
    <row r="6188" s="3" customFormat="1" ht="18.75" spans="1:5">
      <c r="A6188" s="8" t="str">
        <f t="shared" si="108"/>
        <v>250028</v>
      </c>
      <c r="B6188" s="8" t="str">
        <f>"2561407012105"</f>
        <v>2561407012105</v>
      </c>
      <c r="C6188" s="8" t="s">
        <v>13</v>
      </c>
      <c r="D6188" s="9">
        <v>60.46</v>
      </c>
      <c r="E6188" s="8">
        <v>43</v>
      </c>
    </row>
    <row r="6189" s="3" customFormat="1" ht="18.75" spans="1:5">
      <c r="A6189" s="8" t="str">
        <f t="shared" si="108"/>
        <v>250028</v>
      </c>
      <c r="B6189" s="8" t="str">
        <f>"2561407011421"</f>
        <v>2561407011421</v>
      </c>
      <c r="C6189" s="8" t="s">
        <v>13</v>
      </c>
      <c r="D6189" s="9">
        <v>60.33</v>
      </c>
      <c r="E6189" s="8">
        <v>44</v>
      </c>
    </row>
    <row r="6190" s="3" customFormat="1" ht="18.75" spans="1:5">
      <c r="A6190" s="8" t="str">
        <f t="shared" si="108"/>
        <v>250028</v>
      </c>
      <c r="B6190" s="8" t="str">
        <f>"2561407012226"</f>
        <v>2561407012226</v>
      </c>
      <c r="C6190" s="8" t="s">
        <v>13</v>
      </c>
      <c r="D6190" s="9">
        <v>60.28</v>
      </c>
      <c r="E6190" s="8">
        <v>45</v>
      </c>
    </row>
    <row r="6191" s="3" customFormat="1" ht="18.75" spans="1:5">
      <c r="A6191" s="8" t="str">
        <f t="shared" si="108"/>
        <v>250028</v>
      </c>
      <c r="B6191" s="8" t="str">
        <f>"2561407012112"</f>
        <v>2561407012112</v>
      </c>
      <c r="C6191" s="8" t="s">
        <v>13</v>
      </c>
      <c r="D6191" s="9">
        <v>60.26</v>
      </c>
      <c r="E6191" s="8">
        <v>46</v>
      </c>
    </row>
    <row r="6192" s="3" customFormat="1" ht="18.75" spans="1:5">
      <c r="A6192" s="8" t="str">
        <f t="shared" si="108"/>
        <v>250028</v>
      </c>
      <c r="B6192" s="8" t="str">
        <f>"2561407011617"</f>
        <v>2561407011617</v>
      </c>
      <c r="C6192" s="8" t="s">
        <v>13</v>
      </c>
      <c r="D6192" s="9">
        <v>60.22</v>
      </c>
      <c r="E6192" s="8">
        <v>47</v>
      </c>
    </row>
    <row r="6193" s="3" customFormat="1" ht="18.75" spans="1:5">
      <c r="A6193" s="8" t="str">
        <f t="shared" si="108"/>
        <v>250028</v>
      </c>
      <c r="B6193" s="8" t="str">
        <f>"2561407011930"</f>
        <v>2561407011930</v>
      </c>
      <c r="C6193" s="8" t="s">
        <v>13</v>
      </c>
      <c r="D6193" s="9">
        <v>60.21</v>
      </c>
      <c r="E6193" s="8">
        <v>48</v>
      </c>
    </row>
    <row r="6194" s="3" customFormat="1" ht="18.75" spans="1:5">
      <c r="A6194" s="8" t="str">
        <f t="shared" si="108"/>
        <v>250028</v>
      </c>
      <c r="B6194" s="8" t="str">
        <f>"2561407011410"</f>
        <v>2561407011410</v>
      </c>
      <c r="C6194" s="8" t="s">
        <v>13</v>
      </c>
      <c r="D6194" s="9">
        <v>60.2</v>
      </c>
      <c r="E6194" s="8">
        <v>49</v>
      </c>
    </row>
    <row r="6195" s="3" customFormat="1" ht="18.75" spans="1:5">
      <c r="A6195" s="8" t="str">
        <f t="shared" si="108"/>
        <v>250028</v>
      </c>
      <c r="B6195" s="8" t="str">
        <f>"2561407012309"</f>
        <v>2561407012309</v>
      </c>
      <c r="C6195" s="8" t="s">
        <v>13</v>
      </c>
      <c r="D6195" s="9">
        <v>60.18</v>
      </c>
      <c r="E6195" s="8">
        <v>50</v>
      </c>
    </row>
    <row r="6196" s="3" customFormat="1" ht="18.75" spans="1:5">
      <c r="A6196" s="8" t="str">
        <f t="shared" si="108"/>
        <v>250028</v>
      </c>
      <c r="B6196" s="8" t="str">
        <f>"2561407012302"</f>
        <v>2561407012302</v>
      </c>
      <c r="C6196" s="8" t="s">
        <v>13</v>
      </c>
      <c r="D6196" s="9">
        <v>59.98</v>
      </c>
      <c r="E6196" s="8">
        <v>51</v>
      </c>
    </row>
    <row r="6197" s="3" customFormat="1" ht="18.75" spans="1:5">
      <c r="A6197" s="8" t="str">
        <f t="shared" si="108"/>
        <v>250028</v>
      </c>
      <c r="B6197" s="8" t="str">
        <f>"2561407011509"</f>
        <v>2561407011509</v>
      </c>
      <c r="C6197" s="8" t="s">
        <v>13</v>
      </c>
      <c r="D6197" s="9">
        <v>59.91</v>
      </c>
      <c r="E6197" s="8">
        <v>52</v>
      </c>
    </row>
    <row r="6198" s="3" customFormat="1" ht="18.75" spans="1:5">
      <c r="A6198" s="8" t="str">
        <f t="shared" si="108"/>
        <v>250028</v>
      </c>
      <c r="B6198" s="8" t="str">
        <f>"2561407011810"</f>
        <v>2561407011810</v>
      </c>
      <c r="C6198" s="8" t="s">
        <v>13</v>
      </c>
      <c r="D6198" s="9">
        <v>59.76</v>
      </c>
      <c r="E6198" s="8">
        <v>53</v>
      </c>
    </row>
    <row r="6199" s="3" customFormat="1" ht="18.75" spans="1:5">
      <c r="A6199" s="8" t="str">
        <f t="shared" si="108"/>
        <v>250028</v>
      </c>
      <c r="B6199" s="8" t="str">
        <f>"2561407012214"</f>
        <v>2561407012214</v>
      </c>
      <c r="C6199" s="8" t="s">
        <v>13</v>
      </c>
      <c r="D6199" s="9">
        <v>59.74</v>
      </c>
      <c r="E6199" s="8">
        <v>54</v>
      </c>
    </row>
    <row r="6200" s="3" customFormat="1" ht="18.75" spans="1:5">
      <c r="A6200" s="8" t="str">
        <f t="shared" si="108"/>
        <v>250028</v>
      </c>
      <c r="B6200" s="8" t="str">
        <f>"2561407011901"</f>
        <v>2561407011901</v>
      </c>
      <c r="C6200" s="8" t="s">
        <v>13</v>
      </c>
      <c r="D6200" s="9">
        <v>59.37</v>
      </c>
      <c r="E6200" s="8">
        <v>55</v>
      </c>
    </row>
    <row r="6201" s="3" customFormat="1" ht="18.75" spans="1:5">
      <c r="A6201" s="8" t="str">
        <f t="shared" si="108"/>
        <v>250028</v>
      </c>
      <c r="B6201" s="8" t="str">
        <f>"2561407012101"</f>
        <v>2561407012101</v>
      </c>
      <c r="C6201" s="8" t="s">
        <v>13</v>
      </c>
      <c r="D6201" s="9">
        <v>59.3</v>
      </c>
      <c r="E6201" s="8">
        <v>56</v>
      </c>
    </row>
    <row r="6202" s="3" customFormat="1" ht="18.75" spans="1:5">
      <c r="A6202" s="8" t="str">
        <f t="shared" si="108"/>
        <v>250028</v>
      </c>
      <c r="B6202" s="8" t="str">
        <f>"2561407011907"</f>
        <v>2561407011907</v>
      </c>
      <c r="C6202" s="8" t="s">
        <v>13</v>
      </c>
      <c r="D6202" s="9">
        <v>59.27</v>
      </c>
      <c r="E6202" s="8">
        <v>57</v>
      </c>
    </row>
    <row r="6203" s="3" customFormat="1" ht="18.75" spans="1:5">
      <c r="A6203" s="8" t="str">
        <f t="shared" si="108"/>
        <v>250028</v>
      </c>
      <c r="B6203" s="8" t="str">
        <f>"2561407011316"</f>
        <v>2561407011316</v>
      </c>
      <c r="C6203" s="8" t="s">
        <v>13</v>
      </c>
      <c r="D6203" s="9">
        <v>59.22</v>
      </c>
      <c r="E6203" s="8">
        <v>58</v>
      </c>
    </row>
    <row r="6204" s="3" customFormat="1" ht="18.75" spans="1:5">
      <c r="A6204" s="8" t="str">
        <f t="shared" si="108"/>
        <v>250028</v>
      </c>
      <c r="B6204" s="8" t="str">
        <f>"2561407011619"</f>
        <v>2561407011619</v>
      </c>
      <c r="C6204" s="8" t="s">
        <v>13</v>
      </c>
      <c r="D6204" s="9">
        <v>59.2</v>
      </c>
      <c r="E6204" s="8">
        <v>59</v>
      </c>
    </row>
    <row r="6205" s="3" customFormat="1" ht="18.75" spans="1:5">
      <c r="A6205" s="8" t="str">
        <f t="shared" si="108"/>
        <v>250028</v>
      </c>
      <c r="B6205" s="8" t="str">
        <f>"2561407011526"</f>
        <v>2561407011526</v>
      </c>
      <c r="C6205" s="8" t="s">
        <v>13</v>
      </c>
      <c r="D6205" s="9">
        <v>59.19</v>
      </c>
      <c r="E6205" s="8">
        <v>60</v>
      </c>
    </row>
    <row r="6206" s="3" customFormat="1" ht="18.75" spans="1:5">
      <c r="A6206" s="8" t="str">
        <f t="shared" si="108"/>
        <v>250028</v>
      </c>
      <c r="B6206" s="8" t="str">
        <f>"2561407012322"</f>
        <v>2561407012322</v>
      </c>
      <c r="C6206" s="8" t="s">
        <v>13</v>
      </c>
      <c r="D6206" s="9">
        <v>59.1</v>
      </c>
      <c r="E6206" s="8">
        <v>61</v>
      </c>
    </row>
    <row r="6207" s="3" customFormat="1" ht="18.75" spans="1:5">
      <c r="A6207" s="8" t="str">
        <f t="shared" si="108"/>
        <v>250028</v>
      </c>
      <c r="B6207" s="8" t="str">
        <f>"2561407011313"</f>
        <v>2561407011313</v>
      </c>
      <c r="C6207" s="8" t="s">
        <v>13</v>
      </c>
      <c r="D6207" s="9">
        <v>59.02</v>
      </c>
      <c r="E6207" s="8">
        <v>62</v>
      </c>
    </row>
    <row r="6208" s="3" customFormat="1" ht="18.75" spans="1:5">
      <c r="A6208" s="8" t="str">
        <f t="shared" si="108"/>
        <v>250028</v>
      </c>
      <c r="B6208" s="8" t="str">
        <f>"2561407011309"</f>
        <v>2561407011309</v>
      </c>
      <c r="C6208" s="8" t="s">
        <v>13</v>
      </c>
      <c r="D6208" s="9">
        <v>58.96</v>
      </c>
      <c r="E6208" s="8">
        <v>63</v>
      </c>
    </row>
    <row r="6209" s="3" customFormat="1" ht="18.75" spans="1:5">
      <c r="A6209" s="8" t="str">
        <f t="shared" si="108"/>
        <v>250028</v>
      </c>
      <c r="B6209" s="8" t="str">
        <f>"2561407011528"</f>
        <v>2561407011528</v>
      </c>
      <c r="C6209" s="8" t="s">
        <v>13</v>
      </c>
      <c r="D6209" s="9">
        <v>58.82</v>
      </c>
      <c r="E6209" s="8">
        <v>64</v>
      </c>
    </row>
    <row r="6210" s="3" customFormat="1" ht="18.75" spans="1:5">
      <c r="A6210" s="8" t="str">
        <f t="shared" ref="A6210:A6273" si="109">"250028"</f>
        <v>250028</v>
      </c>
      <c r="B6210" s="8" t="str">
        <f>"2561407012206"</f>
        <v>2561407012206</v>
      </c>
      <c r="C6210" s="8" t="s">
        <v>13</v>
      </c>
      <c r="D6210" s="9">
        <v>58.16</v>
      </c>
      <c r="E6210" s="8">
        <v>65</v>
      </c>
    </row>
    <row r="6211" s="3" customFormat="1" ht="18.75" spans="1:5">
      <c r="A6211" s="8" t="str">
        <f t="shared" si="109"/>
        <v>250028</v>
      </c>
      <c r="B6211" s="8" t="str">
        <f>"2561407012004"</f>
        <v>2561407012004</v>
      </c>
      <c r="C6211" s="8" t="s">
        <v>13</v>
      </c>
      <c r="D6211" s="9">
        <v>57.81</v>
      </c>
      <c r="E6211" s="8">
        <v>66</v>
      </c>
    </row>
    <row r="6212" s="3" customFormat="1" ht="18.75" spans="1:5">
      <c r="A6212" s="8" t="str">
        <f t="shared" si="109"/>
        <v>250028</v>
      </c>
      <c r="B6212" s="8" t="str">
        <f>"2561407011730"</f>
        <v>2561407011730</v>
      </c>
      <c r="C6212" s="8" t="s">
        <v>13</v>
      </c>
      <c r="D6212" s="9">
        <v>57.65</v>
      </c>
      <c r="E6212" s="8">
        <v>67</v>
      </c>
    </row>
    <row r="6213" s="3" customFormat="1" ht="18.75" spans="1:5">
      <c r="A6213" s="8" t="str">
        <f t="shared" si="109"/>
        <v>250028</v>
      </c>
      <c r="B6213" s="8" t="str">
        <f>"2561407011317"</f>
        <v>2561407011317</v>
      </c>
      <c r="C6213" s="8" t="s">
        <v>13</v>
      </c>
      <c r="D6213" s="9">
        <v>57.63</v>
      </c>
      <c r="E6213" s="8">
        <v>68</v>
      </c>
    </row>
    <row r="6214" s="3" customFormat="1" ht="18.75" spans="1:5">
      <c r="A6214" s="8" t="str">
        <f t="shared" si="109"/>
        <v>250028</v>
      </c>
      <c r="B6214" s="8" t="str">
        <f>"2561407011717"</f>
        <v>2561407011717</v>
      </c>
      <c r="C6214" s="8" t="s">
        <v>13</v>
      </c>
      <c r="D6214" s="9">
        <v>57.62</v>
      </c>
      <c r="E6214" s="8">
        <v>69</v>
      </c>
    </row>
    <row r="6215" s="3" customFormat="1" ht="18.75" spans="1:5">
      <c r="A6215" s="8" t="str">
        <f t="shared" si="109"/>
        <v>250028</v>
      </c>
      <c r="B6215" s="8" t="str">
        <f>"2561407011423"</f>
        <v>2561407011423</v>
      </c>
      <c r="C6215" s="8" t="s">
        <v>13</v>
      </c>
      <c r="D6215" s="9">
        <v>57.57</v>
      </c>
      <c r="E6215" s="8">
        <v>70</v>
      </c>
    </row>
    <row r="6216" s="3" customFormat="1" ht="18.75" spans="1:5">
      <c r="A6216" s="8" t="str">
        <f t="shared" si="109"/>
        <v>250028</v>
      </c>
      <c r="B6216" s="8" t="str">
        <f>"2561407011827"</f>
        <v>2561407011827</v>
      </c>
      <c r="C6216" s="8" t="s">
        <v>13</v>
      </c>
      <c r="D6216" s="9">
        <v>57.57</v>
      </c>
      <c r="E6216" s="8">
        <v>70</v>
      </c>
    </row>
    <row r="6217" s="3" customFormat="1" ht="18.75" spans="1:5">
      <c r="A6217" s="8" t="str">
        <f t="shared" si="109"/>
        <v>250028</v>
      </c>
      <c r="B6217" s="8" t="str">
        <f>"2561407011826"</f>
        <v>2561407011826</v>
      </c>
      <c r="C6217" s="8" t="s">
        <v>13</v>
      </c>
      <c r="D6217" s="9">
        <v>57.37</v>
      </c>
      <c r="E6217" s="8">
        <v>72</v>
      </c>
    </row>
    <row r="6218" s="3" customFormat="1" ht="18.75" spans="1:5">
      <c r="A6218" s="8" t="str">
        <f t="shared" si="109"/>
        <v>250028</v>
      </c>
      <c r="B6218" s="8" t="str">
        <f>"2561407011515"</f>
        <v>2561407011515</v>
      </c>
      <c r="C6218" s="8" t="s">
        <v>13</v>
      </c>
      <c r="D6218" s="9">
        <v>57.21</v>
      </c>
      <c r="E6218" s="8">
        <v>73</v>
      </c>
    </row>
    <row r="6219" s="3" customFormat="1" ht="18.75" spans="1:5">
      <c r="A6219" s="8" t="str">
        <f t="shared" si="109"/>
        <v>250028</v>
      </c>
      <c r="B6219" s="8" t="str">
        <f>"2561407012117"</f>
        <v>2561407012117</v>
      </c>
      <c r="C6219" s="8" t="s">
        <v>13</v>
      </c>
      <c r="D6219" s="9">
        <v>57.2</v>
      </c>
      <c r="E6219" s="8">
        <v>74</v>
      </c>
    </row>
    <row r="6220" s="3" customFormat="1" ht="18.75" spans="1:5">
      <c r="A6220" s="8" t="str">
        <f t="shared" si="109"/>
        <v>250028</v>
      </c>
      <c r="B6220" s="8" t="str">
        <f>"2561407011420"</f>
        <v>2561407011420</v>
      </c>
      <c r="C6220" s="8" t="s">
        <v>13</v>
      </c>
      <c r="D6220" s="9">
        <v>57.18</v>
      </c>
      <c r="E6220" s="8">
        <v>75</v>
      </c>
    </row>
    <row r="6221" s="3" customFormat="1" ht="18.75" spans="1:5">
      <c r="A6221" s="8" t="str">
        <f t="shared" si="109"/>
        <v>250028</v>
      </c>
      <c r="B6221" s="8" t="str">
        <f>"2561407012321"</f>
        <v>2561407012321</v>
      </c>
      <c r="C6221" s="8" t="s">
        <v>13</v>
      </c>
      <c r="D6221" s="9">
        <v>57.08</v>
      </c>
      <c r="E6221" s="8">
        <v>76</v>
      </c>
    </row>
    <row r="6222" s="3" customFormat="1" ht="18.75" spans="1:5">
      <c r="A6222" s="8" t="str">
        <f t="shared" si="109"/>
        <v>250028</v>
      </c>
      <c r="B6222" s="8" t="str">
        <f>"2561407012201"</f>
        <v>2561407012201</v>
      </c>
      <c r="C6222" s="8" t="s">
        <v>13</v>
      </c>
      <c r="D6222" s="9">
        <v>57.04</v>
      </c>
      <c r="E6222" s="8">
        <v>77</v>
      </c>
    </row>
    <row r="6223" s="3" customFormat="1" ht="18.75" spans="1:5">
      <c r="A6223" s="8" t="str">
        <f t="shared" si="109"/>
        <v>250028</v>
      </c>
      <c r="B6223" s="8" t="str">
        <f>"2561407011807"</f>
        <v>2561407011807</v>
      </c>
      <c r="C6223" s="8" t="s">
        <v>13</v>
      </c>
      <c r="D6223" s="9">
        <v>56.96</v>
      </c>
      <c r="E6223" s="8">
        <v>78</v>
      </c>
    </row>
    <row r="6224" s="3" customFormat="1" ht="18.75" spans="1:5">
      <c r="A6224" s="8" t="str">
        <f t="shared" si="109"/>
        <v>250028</v>
      </c>
      <c r="B6224" s="8" t="str">
        <f>"2561407011829"</f>
        <v>2561407011829</v>
      </c>
      <c r="C6224" s="8" t="s">
        <v>13</v>
      </c>
      <c r="D6224" s="9">
        <v>56.93</v>
      </c>
      <c r="E6224" s="8">
        <v>79</v>
      </c>
    </row>
    <row r="6225" s="3" customFormat="1" ht="18.75" spans="1:5">
      <c r="A6225" s="8" t="str">
        <f t="shared" si="109"/>
        <v>250028</v>
      </c>
      <c r="B6225" s="8" t="str">
        <f>"2561407011228"</f>
        <v>2561407011228</v>
      </c>
      <c r="C6225" s="8" t="s">
        <v>13</v>
      </c>
      <c r="D6225" s="9">
        <v>56.9</v>
      </c>
      <c r="E6225" s="8">
        <v>80</v>
      </c>
    </row>
    <row r="6226" s="3" customFormat="1" ht="18.75" spans="1:5">
      <c r="A6226" s="8" t="str">
        <f t="shared" si="109"/>
        <v>250028</v>
      </c>
      <c r="B6226" s="8" t="str">
        <f>"2561407011912"</f>
        <v>2561407011912</v>
      </c>
      <c r="C6226" s="8" t="s">
        <v>13</v>
      </c>
      <c r="D6226" s="9">
        <v>56.86</v>
      </c>
      <c r="E6226" s="8">
        <v>81</v>
      </c>
    </row>
    <row r="6227" s="3" customFormat="1" ht="18.75" spans="1:5">
      <c r="A6227" s="8" t="str">
        <f t="shared" si="109"/>
        <v>250028</v>
      </c>
      <c r="B6227" s="8" t="str">
        <f>"2561407012304"</f>
        <v>2561407012304</v>
      </c>
      <c r="C6227" s="8" t="s">
        <v>13</v>
      </c>
      <c r="D6227" s="9">
        <v>56.82</v>
      </c>
      <c r="E6227" s="8">
        <v>82</v>
      </c>
    </row>
    <row r="6228" s="3" customFormat="1" ht="18.75" spans="1:5">
      <c r="A6228" s="8" t="str">
        <f t="shared" si="109"/>
        <v>250028</v>
      </c>
      <c r="B6228" s="8" t="str">
        <f>"2561407011627"</f>
        <v>2561407011627</v>
      </c>
      <c r="C6228" s="8" t="s">
        <v>13</v>
      </c>
      <c r="D6228" s="9">
        <v>56.78</v>
      </c>
      <c r="E6228" s="8">
        <v>83</v>
      </c>
    </row>
    <row r="6229" s="3" customFormat="1" ht="18.75" spans="1:5">
      <c r="A6229" s="8" t="str">
        <f t="shared" si="109"/>
        <v>250028</v>
      </c>
      <c r="B6229" s="8" t="str">
        <f>"2561407011518"</f>
        <v>2561407011518</v>
      </c>
      <c r="C6229" s="8" t="s">
        <v>13</v>
      </c>
      <c r="D6229" s="9">
        <v>56.69</v>
      </c>
      <c r="E6229" s="8">
        <v>84</v>
      </c>
    </row>
    <row r="6230" s="3" customFormat="1" ht="18.75" spans="1:5">
      <c r="A6230" s="8" t="str">
        <f t="shared" si="109"/>
        <v>250028</v>
      </c>
      <c r="B6230" s="8" t="str">
        <f>"2561407011610"</f>
        <v>2561407011610</v>
      </c>
      <c r="C6230" s="8" t="s">
        <v>13</v>
      </c>
      <c r="D6230" s="9">
        <v>56.53</v>
      </c>
      <c r="E6230" s="8">
        <v>85</v>
      </c>
    </row>
    <row r="6231" s="3" customFormat="1" ht="18.75" spans="1:5">
      <c r="A6231" s="8" t="str">
        <f t="shared" si="109"/>
        <v>250028</v>
      </c>
      <c r="B6231" s="8" t="str">
        <f>"2561407011821"</f>
        <v>2561407011821</v>
      </c>
      <c r="C6231" s="8" t="s">
        <v>13</v>
      </c>
      <c r="D6231" s="9">
        <v>56.51</v>
      </c>
      <c r="E6231" s="8">
        <v>86</v>
      </c>
    </row>
    <row r="6232" s="3" customFormat="1" ht="18.75" spans="1:5">
      <c r="A6232" s="8" t="str">
        <f t="shared" si="109"/>
        <v>250028</v>
      </c>
      <c r="B6232" s="8" t="str">
        <f>"2561407011327"</f>
        <v>2561407011327</v>
      </c>
      <c r="C6232" s="8" t="s">
        <v>13</v>
      </c>
      <c r="D6232" s="9">
        <v>56.29</v>
      </c>
      <c r="E6232" s="8">
        <v>87</v>
      </c>
    </row>
    <row r="6233" s="3" customFormat="1" ht="18.75" spans="1:5">
      <c r="A6233" s="8" t="str">
        <f t="shared" si="109"/>
        <v>250028</v>
      </c>
      <c r="B6233" s="8" t="str">
        <f>"2561407011630"</f>
        <v>2561407011630</v>
      </c>
      <c r="C6233" s="8" t="s">
        <v>13</v>
      </c>
      <c r="D6233" s="9">
        <v>56.27</v>
      </c>
      <c r="E6233" s="8">
        <v>88</v>
      </c>
    </row>
    <row r="6234" s="3" customFormat="1" ht="18.75" spans="1:5">
      <c r="A6234" s="8" t="str">
        <f t="shared" si="109"/>
        <v>250028</v>
      </c>
      <c r="B6234" s="8" t="str">
        <f>"2561407011908"</f>
        <v>2561407011908</v>
      </c>
      <c r="C6234" s="8" t="s">
        <v>13</v>
      </c>
      <c r="D6234" s="9">
        <v>55.96</v>
      </c>
      <c r="E6234" s="8">
        <v>89</v>
      </c>
    </row>
    <row r="6235" s="3" customFormat="1" ht="18.75" spans="1:5">
      <c r="A6235" s="8" t="str">
        <f t="shared" si="109"/>
        <v>250028</v>
      </c>
      <c r="B6235" s="8" t="str">
        <f>"2561407011321"</f>
        <v>2561407011321</v>
      </c>
      <c r="C6235" s="8" t="s">
        <v>13</v>
      </c>
      <c r="D6235" s="9">
        <v>55.92</v>
      </c>
      <c r="E6235" s="8">
        <v>90</v>
      </c>
    </row>
    <row r="6236" s="3" customFormat="1" ht="18.75" spans="1:5">
      <c r="A6236" s="8" t="str">
        <f t="shared" si="109"/>
        <v>250028</v>
      </c>
      <c r="B6236" s="8" t="str">
        <f>"2561407011917"</f>
        <v>2561407011917</v>
      </c>
      <c r="C6236" s="8" t="s">
        <v>13</v>
      </c>
      <c r="D6236" s="9">
        <v>55.86</v>
      </c>
      <c r="E6236" s="8">
        <v>91</v>
      </c>
    </row>
    <row r="6237" s="3" customFormat="1" ht="18.75" spans="1:5">
      <c r="A6237" s="8" t="str">
        <f t="shared" si="109"/>
        <v>250028</v>
      </c>
      <c r="B6237" s="8" t="str">
        <f>"2561407012314"</f>
        <v>2561407012314</v>
      </c>
      <c r="C6237" s="8" t="s">
        <v>13</v>
      </c>
      <c r="D6237" s="9">
        <v>55.81</v>
      </c>
      <c r="E6237" s="8">
        <v>92</v>
      </c>
    </row>
    <row r="6238" s="3" customFormat="1" ht="18.75" spans="1:5">
      <c r="A6238" s="8" t="str">
        <f t="shared" si="109"/>
        <v>250028</v>
      </c>
      <c r="B6238" s="8" t="str">
        <f>"2561407012125"</f>
        <v>2561407012125</v>
      </c>
      <c r="C6238" s="8" t="s">
        <v>13</v>
      </c>
      <c r="D6238" s="9">
        <v>55.72</v>
      </c>
      <c r="E6238" s="8">
        <v>93</v>
      </c>
    </row>
    <row r="6239" s="3" customFormat="1" ht="18.75" spans="1:5">
      <c r="A6239" s="8" t="str">
        <f t="shared" si="109"/>
        <v>250028</v>
      </c>
      <c r="B6239" s="8" t="str">
        <f>"2561407011723"</f>
        <v>2561407011723</v>
      </c>
      <c r="C6239" s="8" t="s">
        <v>13</v>
      </c>
      <c r="D6239" s="9">
        <v>55.67</v>
      </c>
      <c r="E6239" s="8">
        <v>94</v>
      </c>
    </row>
    <row r="6240" s="3" customFormat="1" ht="18.75" spans="1:5">
      <c r="A6240" s="8" t="str">
        <f t="shared" si="109"/>
        <v>250028</v>
      </c>
      <c r="B6240" s="8" t="str">
        <f>"2561407012019"</f>
        <v>2561407012019</v>
      </c>
      <c r="C6240" s="8" t="s">
        <v>13</v>
      </c>
      <c r="D6240" s="9">
        <v>55.3</v>
      </c>
      <c r="E6240" s="8">
        <v>95</v>
      </c>
    </row>
    <row r="6241" s="3" customFormat="1" ht="18.75" spans="1:5">
      <c r="A6241" s="8" t="str">
        <f t="shared" si="109"/>
        <v>250028</v>
      </c>
      <c r="B6241" s="8" t="str">
        <f>"2561407011425"</f>
        <v>2561407011425</v>
      </c>
      <c r="C6241" s="8" t="s">
        <v>13</v>
      </c>
      <c r="D6241" s="9">
        <v>55.21</v>
      </c>
      <c r="E6241" s="8">
        <v>96</v>
      </c>
    </row>
    <row r="6242" s="3" customFormat="1" ht="18.75" spans="1:5">
      <c r="A6242" s="8" t="str">
        <f t="shared" si="109"/>
        <v>250028</v>
      </c>
      <c r="B6242" s="8" t="str">
        <f>"2561407012224"</f>
        <v>2561407012224</v>
      </c>
      <c r="C6242" s="8" t="s">
        <v>13</v>
      </c>
      <c r="D6242" s="9">
        <v>55.16</v>
      </c>
      <c r="E6242" s="8">
        <v>97</v>
      </c>
    </row>
    <row r="6243" s="3" customFormat="1" ht="18.75" spans="1:5">
      <c r="A6243" s="8" t="str">
        <f t="shared" si="109"/>
        <v>250028</v>
      </c>
      <c r="B6243" s="8" t="str">
        <f>"2561407011411"</f>
        <v>2561407011411</v>
      </c>
      <c r="C6243" s="8" t="s">
        <v>13</v>
      </c>
      <c r="D6243" s="9">
        <v>55.01</v>
      </c>
      <c r="E6243" s="8">
        <v>98</v>
      </c>
    </row>
    <row r="6244" s="3" customFormat="1" ht="18.75" spans="1:5">
      <c r="A6244" s="8" t="str">
        <f t="shared" si="109"/>
        <v>250028</v>
      </c>
      <c r="B6244" s="8" t="str">
        <f>"2561407012012"</f>
        <v>2561407012012</v>
      </c>
      <c r="C6244" s="8" t="s">
        <v>13</v>
      </c>
      <c r="D6244" s="9">
        <v>55.01</v>
      </c>
      <c r="E6244" s="8">
        <v>98</v>
      </c>
    </row>
    <row r="6245" s="3" customFormat="1" ht="18.75" spans="1:5">
      <c r="A6245" s="8" t="str">
        <f t="shared" si="109"/>
        <v>250028</v>
      </c>
      <c r="B6245" s="8" t="str">
        <f>"2561407011706"</f>
        <v>2561407011706</v>
      </c>
      <c r="C6245" s="8" t="s">
        <v>13</v>
      </c>
      <c r="D6245" s="9">
        <v>54.99</v>
      </c>
      <c r="E6245" s="8">
        <v>100</v>
      </c>
    </row>
    <row r="6246" s="3" customFormat="1" ht="18.75" spans="1:5">
      <c r="A6246" s="8" t="str">
        <f t="shared" si="109"/>
        <v>250028</v>
      </c>
      <c r="B6246" s="8" t="str">
        <f>"2561407012225"</f>
        <v>2561407012225</v>
      </c>
      <c r="C6246" s="8" t="s">
        <v>13</v>
      </c>
      <c r="D6246" s="9">
        <v>54.98</v>
      </c>
      <c r="E6246" s="8">
        <v>101</v>
      </c>
    </row>
    <row r="6247" s="3" customFormat="1" ht="18.75" spans="1:5">
      <c r="A6247" s="8" t="str">
        <f t="shared" si="109"/>
        <v>250028</v>
      </c>
      <c r="B6247" s="8" t="str">
        <f>"2561407011906"</f>
        <v>2561407011906</v>
      </c>
      <c r="C6247" s="8" t="s">
        <v>13</v>
      </c>
      <c r="D6247" s="9">
        <v>54.9</v>
      </c>
      <c r="E6247" s="8">
        <v>102</v>
      </c>
    </row>
    <row r="6248" s="3" customFormat="1" ht="18.75" spans="1:5">
      <c r="A6248" s="8" t="str">
        <f t="shared" si="109"/>
        <v>250028</v>
      </c>
      <c r="B6248" s="8" t="str">
        <f>"2561407011520"</f>
        <v>2561407011520</v>
      </c>
      <c r="C6248" s="8" t="s">
        <v>13</v>
      </c>
      <c r="D6248" s="9">
        <v>54.83</v>
      </c>
      <c r="E6248" s="8">
        <v>103</v>
      </c>
    </row>
    <row r="6249" s="3" customFormat="1" ht="18.75" spans="1:5">
      <c r="A6249" s="8" t="str">
        <f t="shared" si="109"/>
        <v>250028</v>
      </c>
      <c r="B6249" s="8" t="str">
        <f>"2561407011413"</f>
        <v>2561407011413</v>
      </c>
      <c r="C6249" s="8" t="s">
        <v>13</v>
      </c>
      <c r="D6249" s="9">
        <v>54.66</v>
      </c>
      <c r="E6249" s="8">
        <v>104</v>
      </c>
    </row>
    <row r="6250" s="3" customFormat="1" ht="18.75" spans="1:5">
      <c r="A6250" s="8" t="str">
        <f t="shared" si="109"/>
        <v>250028</v>
      </c>
      <c r="B6250" s="8" t="str">
        <f>"2561407011720"</f>
        <v>2561407011720</v>
      </c>
      <c r="C6250" s="8" t="s">
        <v>13</v>
      </c>
      <c r="D6250" s="9">
        <v>54.55</v>
      </c>
      <c r="E6250" s="8">
        <v>105</v>
      </c>
    </row>
    <row r="6251" s="3" customFormat="1" ht="18.75" spans="1:5">
      <c r="A6251" s="8" t="str">
        <f t="shared" si="109"/>
        <v>250028</v>
      </c>
      <c r="B6251" s="8" t="str">
        <f>"2561407011415"</f>
        <v>2561407011415</v>
      </c>
      <c r="C6251" s="8" t="s">
        <v>13</v>
      </c>
      <c r="D6251" s="9">
        <v>54.45</v>
      </c>
      <c r="E6251" s="8">
        <v>106</v>
      </c>
    </row>
    <row r="6252" s="3" customFormat="1" ht="18.75" spans="1:5">
      <c r="A6252" s="8" t="str">
        <f t="shared" si="109"/>
        <v>250028</v>
      </c>
      <c r="B6252" s="8" t="str">
        <f>"2561407011910"</f>
        <v>2561407011910</v>
      </c>
      <c r="C6252" s="8" t="s">
        <v>13</v>
      </c>
      <c r="D6252" s="9">
        <v>54.43</v>
      </c>
      <c r="E6252" s="8">
        <v>107</v>
      </c>
    </row>
    <row r="6253" s="3" customFormat="1" ht="18.75" spans="1:5">
      <c r="A6253" s="8" t="str">
        <f t="shared" si="109"/>
        <v>250028</v>
      </c>
      <c r="B6253" s="8" t="str">
        <f>"2561407012106"</f>
        <v>2561407012106</v>
      </c>
      <c r="C6253" s="8" t="s">
        <v>13</v>
      </c>
      <c r="D6253" s="9">
        <v>54.32</v>
      </c>
      <c r="E6253" s="8">
        <v>108</v>
      </c>
    </row>
    <row r="6254" s="3" customFormat="1" ht="18.75" spans="1:5">
      <c r="A6254" s="8" t="str">
        <f t="shared" si="109"/>
        <v>250028</v>
      </c>
      <c r="B6254" s="8" t="str">
        <f>"2561407011306"</f>
        <v>2561407011306</v>
      </c>
      <c r="C6254" s="8" t="s">
        <v>13</v>
      </c>
      <c r="D6254" s="9">
        <v>54.28</v>
      </c>
      <c r="E6254" s="8">
        <v>109</v>
      </c>
    </row>
    <row r="6255" s="3" customFormat="1" ht="18.75" spans="1:5">
      <c r="A6255" s="8" t="str">
        <f t="shared" si="109"/>
        <v>250028</v>
      </c>
      <c r="B6255" s="8" t="str">
        <f>"2561407011714"</f>
        <v>2561407011714</v>
      </c>
      <c r="C6255" s="8" t="s">
        <v>13</v>
      </c>
      <c r="D6255" s="9">
        <v>53.93</v>
      </c>
      <c r="E6255" s="8">
        <v>110</v>
      </c>
    </row>
    <row r="6256" s="3" customFormat="1" ht="18.75" spans="1:5">
      <c r="A6256" s="8" t="str">
        <f t="shared" si="109"/>
        <v>250028</v>
      </c>
      <c r="B6256" s="8" t="str">
        <f>"2561407011217"</f>
        <v>2561407011217</v>
      </c>
      <c r="C6256" s="8" t="s">
        <v>13</v>
      </c>
      <c r="D6256" s="9">
        <v>53.83</v>
      </c>
      <c r="E6256" s="8">
        <v>111</v>
      </c>
    </row>
    <row r="6257" s="3" customFormat="1" ht="18.75" spans="1:5">
      <c r="A6257" s="8" t="str">
        <f t="shared" si="109"/>
        <v>250028</v>
      </c>
      <c r="B6257" s="8" t="str">
        <f>"2561407011512"</f>
        <v>2561407011512</v>
      </c>
      <c r="C6257" s="8" t="s">
        <v>13</v>
      </c>
      <c r="D6257" s="9">
        <v>53.6</v>
      </c>
      <c r="E6257" s="8">
        <v>112</v>
      </c>
    </row>
    <row r="6258" s="3" customFormat="1" ht="18.75" spans="1:5">
      <c r="A6258" s="8" t="str">
        <f t="shared" si="109"/>
        <v>250028</v>
      </c>
      <c r="B6258" s="8" t="str">
        <f>"2561407011403"</f>
        <v>2561407011403</v>
      </c>
      <c r="C6258" s="8" t="s">
        <v>13</v>
      </c>
      <c r="D6258" s="9">
        <v>53.32</v>
      </c>
      <c r="E6258" s="8">
        <v>113</v>
      </c>
    </row>
    <row r="6259" s="3" customFormat="1" ht="18.75" spans="1:5">
      <c r="A6259" s="8" t="str">
        <f t="shared" si="109"/>
        <v>250028</v>
      </c>
      <c r="B6259" s="8" t="str">
        <f>"2561407011925"</f>
        <v>2561407011925</v>
      </c>
      <c r="C6259" s="8" t="s">
        <v>13</v>
      </c>
      <c r="D6259" s="9">
        <v>53.28</v>
      </c>
      <c r="E6259" s="8">
        <v>114</v>
      </c>
    </row>
    <row r="6260" s="3" customFormat="1" ht="18.75" spans="1:5">
      <c r="A6260" s="8" t="str">
        <f t="shared" si="109"/>
        <v>250028</v>
      </c>
      <c r="B6260" s="8" t="str">
        <f>"2561407011310"</f>
        <v>2561407011310</v>
      </c>
      <c r="C6260" s="8" t="s">
        <v>13</v>
      </c>
      <c r="D6260" s="9">
        <v>53.24</v>
      </c>
      <c r="E6260" s="8">
        <v>115</v>
      </c>
    </row>
    <row r="6261" s="3" customFormat="1" ht="18.75" spans="1:5">
      <c r="A6261" s="8" t="str">
        <f t="shared" si="109"/>
        <v>250028</v>
      </c>
      <c r="B6261" s="8" t="str">
        <f>"2561407012126"</f>
        <v>2561407012126</v>
      </c>
      <c r="C6261" s="8" t="s">
        <v>13</v>
      </c>
      <c r="D6261" s="9">
        <v>53.14</v>
      </c>
      <c r="E6261" s="8">
        <v>116</v>
      </c>
    </row>
    <row r="6262" s="3" customFormat="1" ht="18.75" spans="1:5">
      <c r="A6262" s="8" t="str">
        <f t="shared" si="109"/>
        <v>250028</v>
      </c>
      <c r="B6262" s="8" t="str">
        <f>"2561407011801"</f>
        <v>2561407011801</v>
      </c>
      <c r="C6262" s="8" t="s">
        <v>13</v>
      </c>
      <c r="D6262" s="9">
        <v>53.01</v>
      </c>
      <c r="E6262" s="8">
        <v>117</v>
      </c>
    </row>
    <row r="6263" s="3" customFormat="1" ht="18.75" spans="1:5">
      <c r="A6263" s="8" t="str">
        <f t="shared" si="109"/>
        <v>250028</v>
      </c>
      <c r="B6263" s="8" t="str">
        <f>"2561407012127"</f>
        <v>2561407012127</v>
      </c>
      <c r="C6263" s="8" t="s">
        <v>13</v>
      </c>
      <c r="D6263" s="9">
        <v>52.78</v>
      </c>
      <c r="E6263" s="8">
        <v>118</v>
      </c>
    </row>
    <row r="6264" s="3" customFormat="1" ht="18.75" spans="1:5">
      <c r="A6264" s="8" t="str">
        <f t="shared" si="109"/>
        <v>250028</v>
      </c>
      <c r="B6264" s="8" t="str">
        <f>"2561407011902"</f>
        <v>2561407011902</v>
      </c>
      <c r="C6264" s="8" t="s">
        <v>13</v>
      </c>
      <c r="D6264" s="9">
        <v>52.64</v>
      </c>
      <c r="E6264" s="8">
        <v>119</v>
      </c>
    </row>
    <row r="6265" s="3" customFormat="1" ht="18.75" spans="1:5">
      <c r="A6265" s="8" t="str">
        <f t="shared" si="109"/>
        <v>250028</v>
      </c>
      <c r="B6265" s="8" t="str">
        <f>"2561407012228"</f>
        <v>2561407012228</v>
      </c>
      <c r="C6265" s="8" t="s">
        <v>13</v>
      </c>
      <c r="D6265" s="9">
        <v>52.44</v>
      </c>
      <c r="E6265" s="8">
        <v>120</v>
      </c>
    </row>
    <row r="6266" s="3" customFormat="1" ht="18.75" spans="1:5">
      <c r="A6266" s="8" t="str">
        <f t="shared" si="109"/>
        <v>250028</v>
      </c>
      <c r="B6266" s="8" t="str">
        <f>"2561407011715"</f>
        <v>2561407011715</v>
      </c>
      <c r="C6266" s="8" t="s">
        <v>13</v>
      </c>
      <c r="D6266" s="9">
        <v>52.03</v>
      </c>
      <c r="E6266" s="8">
        <v>121</v>
      </c>
    </row>
    <row r="6267" s="3" customFormat="1" ht="18.75" spans="1:5">
      <c r="A6267" s="8" t="str">
        <f t="shared" si="109"/>
        <v>250028</v>
      </c>
      <c r="B6267" s="8" t="str">
        <f>"2561407011525"</f>
        <v>2561407011525</v>
      </c>
      <c r="C6267" s="8" t="s">
        <v>13</v>
      </c>
      <c r="D6267" s="9">
        <v>51.9</v>
      </c>
      <c r="E6267" s="8">
        <v>122</v>
      </c>
    </row>
    <row r="6268" s="3" customFormat="1" ht="18.75" spans="1:5">
      <c r="A6268" s="8" t="str">
        <f t="shared" si="109"/>
        <v>250028</v>
      </c>
      <c r="B6268" s="8" t="str">
        <f>"2561407011814"</f>
        <v>2561407011814</v>
      </c>
      <c r="C6268" s="8" t="s">
        <v>13</v>
      </c>
      <c r="D6268" s="9">
        <v>51.75</v>
      </c>
      <c r="E6268" s="8">
        <v>123</v>
      </c>
    </row>
    <row r="6269" s="3" customFormat="1" ht="18.75" spans="1:5">
      <c r="A6269" s="8" t="str">
        <f t="shared" si="109"/>
        <v>250028</v>
      </c>
      <c r="B6269" s="8" t="str">
        <f>"2561407012102"</f>
        <v>2561407012102</v>
      </c>
      <c r="C6269" s="8" t="s">
        <v>13</v>
      </c>
      <c r="D6269" s="9">
        <v>51.75</v>
      </c>
      <c r="E6269" s="8">
        <v>123</v>
      </c>
    </row>
    <row r="6270" s="3" customFormat="1" ht="18.75" spans="1:5">
      <c r="A6270" s="8" t="str">
        <f t="shared" si="109"/>
        <v>250028</v>
      </c>
      <c r="B6270" s="8" t="str">
        <f>"2561407011501"</f>
        <v>2561407011501</v>
      </c>
      <c r="C6270" s="8" t="s">
        <v>13</v>
      </c>
      <c r="D6270" s="9">
        <v>51.65</v>
      </c>
      <c r="E6270" s="8">
        <v>125</v>
      </c>
    </row>
    <row r="6271" s="3" customFormat="1" ht="18.75" spans="1:5">
      <c r="A6271" s="8" t="str">
        <f t="shared" si="109"/>
        <v>250028</v>
      </c>
      <c r="B6271" s="8" t="str">
        <f>"2561407012108"</f>
        <v>2561407012108</v>
      </c>
      <c r="C6271" s="8" t="s">
        <v>13</v>
      </c>
      <c r="D6271" s="9">
        <v>51.63</v>
      </c>
      <c r="E6271" s="8">
        <v>126</v>
      </c>
    </row>
    <row r="6272" s="3" customFormat="1" ht="18.75" spans="1:5">
      <c r="A6272" s="8" t="str">
        <f t="shared" si="109"/>
        <v>250028</v>
      </c>
      <c r="B6272" s="8" t="str">
        <f>"2561407012209"</f>
        <v>2561407012209</v>
      </c>
      <c r="C6272" s="8" t="s">
        <v>13</v>
      </c>
      <c r="D6272" s="9">
        <v>51.6</v>
      </c>
      <c r="E6272" s="8">
        <v>127</v>
      </c>
    </row>
    <row r="6273" s="3" customFormat="1" ht="18.75" spans="1:5">
      <c r="A6273" s="8" t="str">
        <f t="shared" si="109"/>
        <v>250028</v>
      </c>
      <c r="B6273" s="8" t="str">
        <f>"2561407012301"</f>
        <v>2561407012301</v>
      </c>
      <c r="C6273" s="8" t="s">
        <v>13</v>
      </c>
      <c r="D6273" s="9">
        <v>51.58</v>
      </c>
      <c r="E6273" s="8">
        <v>128</v>
      </c>
    </row>
    <row r="6274" s="3" customFormat="1" ht="18.75" spans="1:5">
      <c r="A6274" s="8" t="str">
        <f t="shared" ref="A6274:A6337" si="110">"250028"</f>
        <v>250028</v>
      </c>
      <c r="B6274" s="8" t="str">
        <f>"2561407011510"</f>
        <v>2561407011510</v>
      </c>
      <c r="C6274" s="8" t="s">
        <v>13</v>
      </c>
      <c r="D6274" s="9">
        <v>51.38</v>
      </c>
      <c r="E6274" s="8">
        <v>129</v>
      </c>
    </row>
    <row r="6275" s="3" customFormat="1" ht="18.75" spans="1:5">
      <c r="A6275" s="8" t="str">
        <f t="shared" si="110"/>
        <v>250028</v>
      </c>
      <c r="B6275" s="8" t="str">
        <f>"2561407011915"</f>
        <v>2561407011915</v>
      </c>
      <c r="C6275" s="8" t="s">
        <v>13</v>
      </c>
      <c r="D6275" s="9">
        <v>51.28</v>
      </c>
      <c r="E6275" s="8">
        <v>130</v>
      </c>
    </row>
    <row r="6276" s="3" customFormat="1" ht="18.75" spans="1:5">
      <c r="A6276" s="8" t="str">
        <f t="shared" si="110"/>
        <v>250028</v>
      </c>
      <c r="B6276" s="8" t="str">
        <f>"2561407012025"</f>
        <v>2561407012025</v>
      </c>
      <c r="C6276" s="8" t="s">
        <v>13</v>
      </c>
      <c r="D6276" s="9">
        <v>51.25</v>
      </c>
      <c r="E6276" s="8">
        <v>131</v>
      </c>
    </row>
    <row r="6277" s="3" customFormat="1" ht="18.75" spans="1:5">
      <c r="A6277" s="8" t="str">
        <f t="shared" si="110"/>
        <v>250028</v>
      </c>
      <c r="B6277" s="8" t="str">
        <f>"2561407011220"</f>
        <v>2561407011220</v>
      </c>
      <c r="C6277" s="8" t="s">
        <v>13</v>
      </c>
      <c r="D6277" s="9">
        <v>51.09</v>
      </c>
      <c r="E6277" s="8">
        <v>132</v>
      </c>
    </row>
    <row r="6278" s="3" customFormat="1" ht="18.75" spans="1:5">
      <c r="A6278" s="8" t="str">
        <f t="shared" si="110"/>
        <v>250028</v>
      </c>
      <c r="B6278" s="8" t="str">
        <f>"2561407011618"</f>
        <v>2561407011618</v>
      </c>
      <c r="C6278" s="8" t="s">
        <v>13</v>
      </c>
      <c r="D6278" s="9">
        <v>50.98</v>
      </c>
      <c r="E6278" s="8">
        <v>133</v>
      </c>
    </row>
    <row r="6279" s="3" customFormat="1" ht="18.75" spans="1:5">
      <c r="A6279" s="8" t="str">
        <f t="shared" si="110"/>
        <v>250028</v>
      </c>
      <c r="B6279" s="8" t="str">
        <f>"2561407011726"</f>
        <v>2561407011726</v>
      </c>
      <c r="C6279" s="8" t="s">
        <v>13</v>
      </c>
      <c r="D6279" s="9">
        <v>50.72</v>
      </c>
      <c r="E6279" s="8">
        <v>134</v>
      </c>
    </row>
    <row r="6280" s="3" customFormat="1" ht="18.75" spans="1:5">
      <c r="A6280" s="8" t="str">
        <f t="shared" si="110"/>
        <v>250028</v>
      </c>
      <c r="B6280" s="8" t="str">
        <f>"2561407011916"</f>
        <v>2561407011916</v>
      </c>
      <c r="C6280" s="8" t="s">
        <v>13</v>
      </c>
      <c r="D6280" s="9">
        <v>50.57</v>
      </c>
      <c r="E6280" s="8">
        <v>135</v>
      </c>
    </row>
    <row r="6281" s="3" customFormat="1" ht="18.75" spans="1:5">
      <c r="A6281" s="8" t="str">
        <f t="shared" si="110"/>
        <v>250028</v>
      </c>
      <c r="B6281" s="8" t="str">
        <f>"2561407011603"</f>
        <v>2561407011603</v>
      </c>
      <c r="C6281" s="8" t="s">
        <v>13</v>
      </c>
      <c r="D6281" s="9">
        <v>50.44</v>
      </c>
      <c r="E6281" s="8">
        <v>136</v>
      </c>
    </row>
    <row r="6282" s="3" customFormat="1" ht="18.75" spans="1:5">
      <c r="A6282" s="8" t="str">
        <f t="shared" si="110"/>
        <v>250028</v>
      </c>
      <c r="B6282" s="8" t="str">
        <f>"2561407012007"</f>
        <v>2561407012007</v>
      </c>
      <c r="C6282" s="8" t="s">
        <v>13</v>
      </c>
      <c r="D6282" s="9">
        <v>50.28</v>
      </c>
      <c r="E6282" s="8">
        <v>137</v>
      </c>
    </row>
    <row r="6283" s="3" customFormat="1" ht="18.75" spans="1:5">
      <c r="A6283" s="8" t="str">
        <f t="shared" si="110"/>
        <v>250028</v>
      </c>
      <c r="B6283" s="8" t="str">
        <f>"2561407012211"</f>
        <v>2561407012211</v>
      </c>
      <c r="C6283" s="8" t="s">
        <v>13</v>
      </c>
      <c r="D6283" s="9">
        <v>50.25</v>
      </c>
      <c r="E6283" s="8">
        <v>138</v>
      </c>
    </row>
    <row r="6284" s="3" customFormat="1" ht="18.75" spans="1:5">
      <c r="A6284" s="8" t="str">
        <f t="shared" si="110"/>
        <v>250028</v>
      </c>
      <c r="B6284" s="8" t="str">
        <f>"2561407011409"</f>
        <v>2561407011409</v>
      </c>
      <c r="C6284" s="8" t="s">
        <v>13</v>
      </c>
      <c r="D6284" s="9">
        <v>50.15</v>
      </c>
      <c r="E6284" s="8">
        <v>139</v>
      </c>
    </row>
    <row r="6285" s="3" customFormat="1" ht="18.75" spans="1:5">
      <c r="A6285" s="8" t="str">
        <f t="shared" si="110"/>
        <v>250028</v>
      </c>
      <c r="B6285" s="8" t="str">
        <f>"2561407012027"</f>
        <v>2561407012027</v>
      </c>
      <c r="C6285" s="8" t="s">
        <v>13</v>
      </c>
      <c r="D6285" s="9">
        <v>49.91</v>
      </c>
      <c r="E6285" s="8">
        <v>140</v>
      </c>
    </row>
    <row r="6286" s="3" customFormat="1" ht="18.75" spans="1:5">
      <c r="A6286" s="8" t="str">
        <f t="shared" si="110"/>
        <v>250028</v>
      </c>
      <c r="B6286" s="8" t="str">
        <f>"2561407012008"</f>
        <v>2561407012008</v>
      </c>
      <c r="C6286" s="8" t="s">
        <v>13</v>
      </c>
      <c r="D6286" s="9">
        <v>49.85</v>
      </c>
      <c r="E6286" s="8">
        <v>141</v>
      </c>
    </row>
    <row r="6287" s="3" customFormat="1" ht="18.75" spans="1:5">
      <c r="A6287" s="8" t="str">
        <f t="shared" si="110"/>
        <v>250028</v>
      </c>
      <c r="B6287" s="8" t="str">
        <f>"2561407011924"</f>
        <v>2561407011924</v>
      </c>
      <c r="C6287" s="8" t="s">
        <v>13</v>
      </c>
      <c r="D6287" s="9">
        <v>49.17</v>
      </c>
      <c r="E6287" s="8">
        <v>142</v>
      </c>
    </row>
    <row r="6288" s="3" customFormat="1" ht="18.75" spans="1:5">
      <c r="A6288" s="8" t="str">
        <f t="shared" si="110"/>
        <v>250028</v>
      </c>
      <c r="B6288" s="8" t="str">
        <f>"2561407011623"</f>
        <v>2561407011623</v>
      </c>
      <c r="C6288" s="8" t="s">
        <v>13</v>
      </c>
      <c r="D6288" s="9">
        <v>48.93</v>
      </c>
      <c r="E6288" s="8">
        <v>143</v>
      </c>
    </row>
    <row r="6289" s="3" customFormat="1" ht="18.75" spans="1:5">
      <c r="A6289" s="8" t="str">
        <f t="shared" si="110"/>
        <v>250028</v>
      </c>
      <c r="B6289" s="8" t="str">
        <f>"2561407012217"</f>
        <v>2561407012217</v>
      </c>
      <c r="C6289" s="8" t="s">
        <v>13</v>
      </c>
      <c r="D6289" s="9">
        <v>48.77</v>
      </c>
      <c r="E6289" s="8">
        <v>144</v>
      </c>
    </row>
    <row r="6290" s="3" customFormat="1" ht="18.75" spans="1:5">
      <c r="A6290" s="8" t="str">
        <f t="shared" si="110"/>
        <v>250028</v>
      </c>
      <c r="B6290" s="8" t="str">
        <f>"2561407012114"</f>
        <v>2561407012114</v>
      </c>
      <c r="C6290" s="8" t="s">
        <v>13</v>
      </c>
      <c r="D6290" s="9">
        <v>48.72</v>
      </c>
      <c r="E6290" s="8">
        <v>145</v>
      </c>
    </row>
    <row r="6291" s="3" customFormat="1" ht="18.75" spans="1:5">
      <c r="A6291" s="8" t="str">
        <f t="shared" si="110"/>
        <v>250028</v>
      </c>
      <c r="B6291" s="8" t="str">
        <f>"2561407012227"</f>
        <v>2561407012227</v>
      </c>
      <c r="C6291" s="8" t="s">
        <v>13</v>
      </c>
      <c r="D6291" s="9">
        <v>48.71</v>
      </c>
      <c r="E6291" s="8">
        <v>146</v>
      </c>
    </row>
    <row r="6292" s="3" customFormat="1" ht="18.75" spans="1:5">
      <c r="A6292" s="8" t="str">
        <f t="shared" si="110"/>
        <v>250028</v>
      </c>
      <c r="B6292" s="8" t="str">
        <f>"2561407012313"</f>
        <v>2561407012313</v>
      </c>
      <c r="C6292" s="8" t="s">
        <v>13</v>
      </c>
      <c r="D6292" s="9">
        <v>48.49</v>
      </c>
      <c r="E6292" s="8">
        <v>147</v>
      </c>
    </row>
    <row r="6293" s="3" customFormat="1" ht="18.75" spans="1:5">
      <c r="A6293" s="8" t="str">
        <f t="shared" si="110"/>
        <v>250028</v>
      </c>
      <c r="B6293" s="8" t="str">
        <f>"2561407012121"</f>
        <v>2561407012121</v>
      </c>
      <c r="C6293" s="8" t="s">
        <v>13</v>
      </c>
      <c r="D6293" s="9">
        <v>48</v>
      </c>
      <c r="E6293" s="8">
        <v>148</v>
      </c>
    </row>
    <row r="6294" s="3" customFormat="1" ht="18.75" spans="1:5">
      <c r="A6294" s="8" t="str">
        <f t="shared" si="110"/>
        <v>250028</v>
      </c>
      <c r="B6294" s="8" t="str">
        <f>"2561407012122"</f>
        <v>2561407012122</v>
      </c>
      <c r="C6294" s="8" t="s">
        <v>13</v>
      </c>
      <c r="D6294" s="9">
        <v>47.99</v>
      </c>
      <c r="E6294" s="8">
        <v>149</v>
      </c>
    </row>
    <row r="6295" s="3" customFormat="1" ht="18.75" spans="1:5">
      <c r="A6295" s="8" t="str">
        <f t="shared" si="110"/>
        <v>250028</v>
      </c>
      <c r="B6295" s="8" t="str">
        <f>"2561407011329"</f>
        <v>2561407011329</v>
      </c>
      <c r="C6295" s="8" t="s">
        <v>13</v>
      </c>
      <c r="D6295" s="9">
        <v>47.96</v>
      </c>
      <c r="E6295" s="8">
        <v>150</v>
      </c>
    </row>
    <row r="6296" s="3" customFormat="1" ht="18.75" spans="1:5">
      <c r="A6296" s="8" t="str">
        <f t="shared" si="110"/>
        <v>250028</v>
      </c>
      <c r="B6296" s="8" t="str">
        <f>"2561407011529"</f>
        <v>2561407011529</v>
      </c>
      <c r="C6296" s="8" t="s">
        <v>13</v>
      </c>
      <c r="D6296" s="9">
        <v>47.95</v>
      </c>
      <c r="E6296" s="8">
        <v>151</v>
      </c>
    </row>
    <row r="6297" s="3" customFormat="1" ht="18.75" spans="1:5">
      <c r="A6297" s="8" t="str">
        <f t="shared" si="110"/>
        <v>250028</v>
      </c>
      <c r="B6297" s="8" t="str">
        <f>"2561407011913"</f>
        <v>2561407011913</v>
      </c>
      <c r="C6297" s="8" t="s">
        <v>13</v>
      </c>
      <c r="D6297" s="9">
        <v>47.85</v>
      </c>
      <c r="E6297" s="8">
        <v>152</v>
      </c>
    </row>
    <row r="6298" s="3" customFormat="1" ht="18.75" spans="1:5">
      <c r="A6298" s="8" t="str">
        <f t="shared" si="110"/>
        <v>250028</v>
      </c>
      <c r="B6298" s="8" t="str">
        <f>"2561407011602"</f>
        <v>2561407011602</v>
      </c>
      <c r="C6298" s="8" t="s">
        <v>13</v>
      </c>
      <c r="D6298" s="9">
        <v>47.61</v>
      </c>
      <c r="E6298" s="8">
        <v>153</v>
      </c>
    </row>
    <row r="6299" s="3" customFormat="1" ht="18.75" spans="1:5">
      <c r="A6299" s="8" t="str">
        <f t="shared" si="110"/>
        <v>250028</v>
      </c>
      <c r="B6299" s="8" t="str">
        <f>"2561407011803"</f>
        <v>2561407011803</v>
      </c>
      <c r="C6299" s="8" t="s">
        <v>13</v>
      </c>
      <c r="D6299" s="9">
        <v>47.56</v>
      </c>
      <c r="E6299" s="8">
        <v>154</v>
      </c>
    </row>
    <row r="6300" s="3" customFormat="1" ht="18.75" spans="1:5">
      <c r="A6300" s="8" t="str">
        <f t="shared" si="110"/>
        <v>250028</v>
      </c>
      <c r="B6300" s="8" t="str">
        <f>"2561407012110"</f>
        <v>2561407012110</v>
      </c>
      <c r="C6300" s="8" t="s">
        <v>13</v>
      </c>
      <c r="D6300" s="9">
        <v>47.29</v>
      </c>
      <c r="E6300" s="8">
        <v>155</v>
      </c>
    </row>
    <row r="6301" s="3" customFormat="1" ht="18.75" spans="1:5">
      <c r="A6301" s="8" t="str">
        <f t="shared" si="110"/>
        <v>250028</v>
      </c>
      <c r="B6301" s="8" t="str">
        <f>"2561407011816"</f>
        <v>2561407011816</v>
      </c>
      <c r="C6301" s="8" t="s">
        <v>13</v>
      </c>
      <c r="D6301" s="9">
        <v>47.26</v>
      </c>
      <c r="E6301" s="8">
        <v>156</v>
      </c>
    </row>
    <row r="6302" s="3" customFormat="1" ht="18.75" spans="1:5">
      <c r="A6302" s="8" t="str">
        <f t="shared" si="110"/>
        <v>250028</v>
      </c>
      <c r="B6302" s="8" t="str">
        <f>"2561407011418"</f>
        <v>2561407011418</v>
      </c>
      <c r="C6302" s="8" t="s">
        <v>13</v>
      </c>
      <c r="D6302" s="9">
        <v>46.66</v>
      </c>
      <c r="E6302" s="8">
        <v>157</v>
      </c>
    </row>
    <row r="6303" s="3" customFormat="1" ht="18.75" spans="1:5">
      <c r="A6303" s="8" t="str">
        <f t="shared" si="110"/>
        <v>250028</v>
      </c>
      <c r="B6303" s="8" t="str">
        <f>"2561407012016"</f>
        <v>2561407012016</v>
      </c>
      <c r="C6303" s="8" t="s">
        <v>13</v>
      </c>
      <c r="D6303" s="9">
        <v>46.45</v>
      </c>
      <c r="E6303" s="8">
        <v>158</v>
      </c>
    </row>
    <row r="6304" s="3" customFormat="1" ht="18.75" spans="1:5">
      <c r="A6304" s="8" t="str">
        <f t="shared" si="110"/>
        <v>250028</v>
      </c>
      <c r="B6304" s="8" t="str">
        <f>"2561407011303"</f>
        <v>2561407011303</v>
      </c>
      <c r="C6304" s="8" t="s">
        <v>13</v>
      </c>
      <c r="D6304" s="9">
        <v>46.41</v>
      </c>
      <c r="E6304" s="8">
        <v>159</v>
      </c>
    </row>
    <row r="6305" s="3" customFormat="1" ht="18.75" spans="1:5">
      <c r="A6305" s="8" t="str">
        <f t="shared" si="110"/>
        <v>250028</v>
      </c>
      <c r="B6305" s="8" t="str">
        <f>"2561407011922"</f>
        <v>2561407011922</v>
      </c>
      <c r="C6305" s="8" t="s">
        <v>13</v>
      </c>
      <c r="D6305" s="9">
        <v>46.36</v>
      </c>
      <c r="E6305" s="8">
        <v>160</v>
      </c>
    </row>
    <row r="6306" s="3" customFormat="1" ht="18.75" spans="1:5">
      <c r="A6306" s="8" t="str">
        <f t="shared" si="110"/>
        <v>250028</v>
      </c>
      <c r="B6306" s="8" t="str">
        <f>"2561407012203"</f>
        <v>2561407012203</v>
      </c>
      <c r="C6306" s="8" t="s">
        <v>13</v>
      </c>
      <c r="D6306" s="9">
        <v>45.55</v>
      </c>
      <c r="E6306" s="8">
        <v>161</v>
      </c>
    </row>
    <row r="6307" s="3" customFormat="1" ht="18.75" spans="1:5">
      <c r="A6307" s="8" t="str">
        <f t="shared" si="110"/>
        <v>250028</v>
      </c>
      <c r="B6307" s="8" t="str">
        <f>"2561407011905"</f>
        <v>2561407011905</v>
      </c>
      <c r="C6307" s="8" t="s">
        <v>13</v>
      </c>
      <c r="D6307" s="9">
        <v>45.53</v>
      </c>
      <c r="E6307" s="8">
        <v>162</v>
      </c>
    </row>
    <row r="6308" s="3" customFormat="1" ht="18.75" spans="1:5">
      <c r="A6308" s="8" t="str">
        <f t="shared" si="110"/>
        <v>250028</v>
      </c>
      <c r="B6308" s="8" t="str">
        <f>"2561407011911"</f>
        <v>2561407011911</v>
      </c>
      <c r="C6308" s="8" t="s">
        <v>13</v>
      </c>
      <c r="D6308" s="9">
        <v>45.5</v>
      </c>
      <c r="E6308" s="8">
        <v>163</v>
      </c>
    </row>
    <row r="6309" s="3" customFormat="1" ht="18.75" spans="1:5">
      <c r="A6309" s="8" t="str">
        <f t="shared" si="110"/>
        <v>250028</v>
      </c>
      <c r="B6309" s="8" t="str">
        <f>"2561407012223"</f>
        <v>2561407012223</v>
      </c>
      <c r="C6309" s="8" t="s">
        <v>13</v>
      </c>
      <c r="D6309" s="9">
        <v>45.25</v>
      </c>
      <c r="E6309" s="8">
        <v>164</v>
      </c>
    </row>
    <row r="6310" s="3" customFormat="1" ht="18.75" spans="1:5">
      <c r="A6310" s="8" t="str">
        <f t="shared" si="110"/>
        <v>250028</v>
      </c>
      <c r="B6310" s="8" t="str">
        <f>"2561407011705"</f>
        <v>2561407011705</v>
      </c>
      <c r="C6310" s="8" t="s">
        <v>13</v>
      </c>
      <c r="D6310" s="9">
        <v>45.2</v>
      </c>
      <c r="E6310" s="8">
        <v>165</v>
      </c>
    </row>
    <row r="6311" s="3" customFormat="1" ht="18.75" spans="1:5">
      <c r="A6311" s="8" t="str">
        <f t="shared" si="110"/>
        <v>250028</v>
      </c>
      <c r="B6311" s="8" t="str">
        <f>"2561407011517"</f>
        <v>2561407011517</v>
      </c>
      <c r="C6311" s="8" t="s">
        <v>13</v>
      </c>
      <c r="D6311" s="9">
        <v>45.13</v>
      </c>
      <c r="E6311" s="8">
        <v>166</v>
      </c>
    </row>
    <row r="6312" s="3" customFormat="1" ht="18.75" spans="1:5">
      <c r="A6312" s="8" t="str">
        <f t="shared" si="110"/>
        <v>250028</v>
      </c>
      <c r="B6312" s="8" t="str">
        <f>"2561407011830"</f>
        <v>2561407011830</v>
      </c>
      <c r="C6312" s="8" t="s">
        <v>13</v>
      </c>
      <c r="D6312" s="9">
        <v>44.39</v>
      </c>
      <c r="E6312" s="8">
        <v>167</v>
      </c>
    </row>
    <row r="6313" s="3" customFormat="1" ht="18.75" spans="1:5">
      <c r="A6313" s="8" t="str">
        <f t="shared" si="110"/>
        <v>250028</v>
      </c>
      <c r="B6313" s="8" t="str">
        <f>"2561407012013"</f>
        <v>2561407012013</v>
      </c>
      <c r="C6313" s="8" t="s">
        <v>13</v>
      </c>
      <c r="D6313" s="9">
        <v>44.33</v>
      </c>
      <c r="E6313" s="8">
        <v>168</v>
      </c>
    </row>
    <row r="6314" s="3" customFormat="1" ht="18.75" spans="1:5">
      <c r="A6314" s="8" t="str">
        <f t="shared" si="110"/>
        <v>250028</v>
      </c>
      <c r="B6314" s="8" t="str">
        <f>"2561407012006"</f>
        <v>2561407012006</v>
      </c>
      <c r="C6314" s="8" t="s">
        <v>13</v>
      </c>
      <c r="D6314" s="9">
        <v>44.13</v>
      </c>
      <c r="E6314" s="8">
        <v>169</v>
      </c>
    </row>
    <row r="6315" s="3" customFormat="1" ht="18.75" spans="1:5">
      <c r="A6315" s="8" t="str">
        <f t="shared" si="110"/>
        <v>250028</v>
      </c>
      <c r="B6315" s="8" t="str">
        <f>"2561407012115"</f>
        <v>2561407012115</v>
      </c>
      <c r="C6315" s="8" t="s">
        <v>13</v>
      </c>
      <c r="D6315" s="9">
        <v>43.69</v>
      </c>
      <c r="E6315" s="8">
        <v>170</v>
      </c>
    </row>
    <row r="6316" s="3" customFormat="1" ht="18.75" spans="1:5">
      <c r="A6316" s="8" t="str">
        <f t="shared" si="110"/>
        <v>250028</v>
      </c>
      <c r="B6316" s="8" t="str">
        <f>"2561407011307"</f>
        <v>2561407011307</v>
      </c>
      <c r="C6316" s="8" t="s">
        <v>13</v>
      </c>
      <c r="D6316" s="9">
        <v>43.55</v>
      </c>
      <c r="E6316" s="8">
        <v>171</v>
      </c>
    </row>
    <row r="6317" s="3" customFormat="1" ht="18.75" spans="1:5">
      <c r="A6317" s="8" t="str">
        <f t="shared" si="110"/>
        <v>250028</v>
      </c>
      <c r="B6317" s="8" t="str">
        <f>"2561407012205"</f>
        <v>2561407012205</v>
      </c>
      <c r="C6317" s="8" t="s">
        <v>13</v>
      </c>
      <c r="D6317" s="9">
        <v>42.97</v>
      </c>
      <c r="E6317" s="8">
        <v>172</v>
      </c>
    </row>
    <row r="6318" s="3" customFormat="1" ht="18.75" spans="1:5">
      <c r="A6318" s="8" t="str">
        <f t="shared" si="110"/>
        <v>250028</v>
      </c>
      <c r="B6318" s="8" t="str">
        <f>"2561407012104"</f>
        <v>2561407012104</v>
      </c>
      <c r="C6318" s="8" t="s">
        <v>13</v>
      </c>
      <c r="D6318" s="9">
        <v>42.69</v>
      </c>
      <c r="E6318" s="8">
        <v>173</v>
      </c>
    </row>
    <row r="6319" s="3" customFormat="1" ht="18.75" spans="1:5">
      <c r="A6319" s="8" t="str">
        <f t="shared" si="110"/>
        <v>250028</v>
      </c>
      <c r="B6319" s="8" t="str">
        <f>"2561407012318"</f>
        <v>2561407012318</v>
      </c>
      <c r="C6319" s="8" t="s">
        <v>13</v>
      </c>
      <c r="D6319" s="9">
        <v>42.33</v>
      </c>
      <c r="E6319" s="8">
        <v>174</v>
      </c>
    </row>
    <row r="6320" s="3" customFormat="1" ht="18.75" spans="1:5">
      <c r="A6320" s="8" t="str">
        <f t="shared" si="110"/>
        <v>250028</v>
      </c>
      <c r="B6320" s="8" t="str">
        <f>"2561407011311"</f>
        <v>2561407011311</v>
      </c>
      <c r="C6320" s="8" t="s">
        <v>13</v>
      </c>
      <c r="D6320" s="9">
        <v>41.45</v>
      </c>
      <c r="E6320" s="8">
        <v>175</v>
      </c>
    </row>
    <row r="6321" s="3" customFormat="1" ht="18.75" spans="1:5">
      <c r="A6321" s="8" t="str">
        <f t="shared" si="110"/>
        <v>250028</v>
      </c>
      <c r="B6321" s="8" t="str">
        <f>"2561407012317"</f>
        <v>2561407012317</v>
      </c>
      <c r="C6321" s="8" t="s">
        <v>13</v>
      </c>
      <c r="D6321" s="9">
        <v>41.15</v>
      </c>
      <c r="E6321" s="8">
        <v>176</v>
      </c>
    </row>
    <row r="6322" s="3" customFormat="1" ht="18.75" spans="1:5">
      <c r="A6322" s="8" t="str">
        <f t="shared" si="110"/>
        <v>250028</v>
      </c>
      <c r="B6322" s="8" t="str">
        <f>"2561407012018"</f>
        <v>2561407012018</v>
      </c>
      <c r="C6322" s="8" t="s">
        <v>13</v>
      </c>
      <c r="D6322" s="9">
        <v>39.99</v>
      </c>
      <c r="E6322" s="8">
        <v>177</v>
      </c>
    </row>
    <row r="6323" s="3" customFormat="1" ht="18.75" spans="1:5">
      <c r="A6323" s="8" t="str">
        <f t="shared" si="110"/>
        <v>250028</v>
      </c>
      <c r="B6323" s="8" t="str">
        <f>"2561407011530"</f>
        <v>2561407011530</v>
      </c>
      <c r="C6323" s="8" t="s">
        <v>13</v>
      </c>
      <c r="D6323" s="9">
        <v>39.77</v>
      </c>
      <c r="E6323" s="8">
        <v>178</v>
      </c>
    </row>
    <row r="6324" s="3" customFormat="1" ht="18.75" spans="1:5">
      <c r="A6324" s="8" t="str">
        <f t="shared" si="110"/>
        <v>250028</v>
      </c>
      <c r="B6324" s="8" t="str">
        <f>"2561407011405"</f>
        <v>2561407011405</v>
      </c>
      <c r="C6324" s="8" t="s">
        <v>13</v>
      </c>
      <c r="D6324" s="9">
        <v>38.76</v>
      </c>
      <c r="E6324" s="8">
        <v>179</v>
      </c>
    </row>
    <row r="6325" s="3" customFormat="1" ht="18.75" spans="1:5">
      <c r="A6325" s="8" t="str">
        <f t="shared" si="110"/>
        <v>250028</v>
      </c>
      <c r="B6325" s="8" t="str">
        <f>"2561407012219"</f>
        <v>2561407012219</v>
      </c>
      <c r="C6325" s="8" t="s">
        <v>13</v>
      </c>
      <c r="D6325" s="9">
        <v>38.51</v>
      </c>
      <c r="E6325" s="8">
        <v>180</v>
      </c>
    </row>
    <row r="6326" s="3" customFormat="1" ht="18.75" spans="1:5">
      <c r="A6326" s="8" t="str">
        <f t="shared" si="110"/>
        <v>250028</v>
      </c>
      <c r="B6326" s="8" t="str">
        <f>"2561407011330"</f>
        <v>2561407011330</v>
      </c>
      <c r="C6326" s="8" t="s">
        <v>13</v>
      </c>
      <c r="D6326" s="9">
        <v>38.01</v>
      </c>
      <c r="E6326" s="8">
        <v>181</v>
      </c>
    </row>
    <row r="6327" s="3" customFormat="1" ht="18.75" spans="1:5">
      <c r="A6327" s="8" t="str">
        <f t="shared" si="110"/>
        <v>250028</v>
      </c>
      <c r="B6327" s="8" t="str">
        <f>"2561407011419"</f>
        <v>2561407011419</v>
      </c>
      <c r="C6327" s="8" t="s">
        <v>13</v>
      </c>
      <c r="D6327" s="9">
        <v>37.8</v>
      </c>
      <c r="E6327" s="8">
        <v>182</v>
      </c>
    </row>
    <row r="6328" s="3" customFormat="1" ht="18.75" spans="1:5">
      <c r="A6328" s="8" t="str">
        <f t="shared" si="110"/>
        <v>250028</v>
      </c>
      <c r="B6328" s="8" t="str">
        <f>"2561407011412"</f>
        <v>2561407011412</v>
      </c>
      <c r="C6328" s="8" t="s">
        <v>13</v>
      </c>
      <c r="D6328" s="9">
        <v>27.64</v>
      </c>
      <c r="E6328" s="8">
        <v>183</v>
      </c>
    </row>
    <row r="6329" s="3" customFormat="1" ht="18.75" spans="1:5">
      <c r="A6329" s="8" t="str">
        <f t="shared" si="110"/>
        <v>250028</v>
      </c>
      <c r="B6329" s="8" t="str">
        <f>"2561407011211"</f>
        <v>2561407011211</v>
      </c>
      <c r="C6329" s="8" t="s">
        <v>13</v>
      </c>
      <c r="D6329" s="9">
        <v>0</v>
      </c>
      <c r="E6329" s="8">
        <v>184</v>
      </c>
    </row>
    <row r="6330" s="3" customFormat="1" ht="18.75" spans="1:5">
      <c r="A6330" s="8" t="str">
        <f t="shared" si="110"/>
        <v>250028</v>
      </c>
      <c r="B6330" s="8" t="str">
        <f>"2561407011212"</f>
        <v>2561407011212</v>
      </c>
      <c r="C6330" s="8" t="s">
        <v>13</v>
      </c>
      <c r="D6330" s="9">
        <v>0</v>
      </c>
      <c r="E6330" s="8">
        <v>184</v>
      </c>
    </row>
    <row r="6331" s="3" customFormat="1" ht="18.75" spans="1:5">
      <c r="A6331" s="8" t="str">
        <f t="shared" si="110"/>
        <v>250028</v>
      </c>
      <c r="B6331" s="8" t="str">
        <f>"2561407011213"</f>
        <v>2561407011213</v>
      </c>
      <c r="C6331" s="8" t="s">
        <v>13</v>
      </c>
      <c r="D6331" s="9">
        <v>0</v>
      </c>
      <c r="E6331" s="8">
        <v>184</v>
      </c>
    </row>
    <row r="6332" s="3" customFormat="1" ht="18.75" spans="1:5">
      <c r="A6332" s="8" t="str">
        <f t="shared" si="110"/>
        <v>250028</v>
      </c>
      <c r="B6332" s="8" t="str">
        <f>"2561407011214"</f>
        <v>2561407011214</v>
      </c>
      <c r="C6332" s="8" t="s">
        <v>13</v>
      </c>
      <c r="D6332" s="9">
        <v>0</v>
      </c>
      <c r="E6332" s="8">
        <v>184</v>
      </c>
    </row>
    <row r="6333" s="3" customFormat="1" ht="18.75" spans="1:5">
      <c r="A6333" s="8" t="str">
        <f t="shared" si="110"/>
        <v>250028</v>
      </c>
      <c r="B6333" s="8" t="str">
        <f>"2561407011215"</f>
        <v>2561407011215</v>
      </c>
      <c r="C6333" s="8" t="s">
        <v>13</v>
      </c>
      <c r="D6333" s="9">
        <v>0</v>
      </c>
      <c r="E6333" s="8">
        <v>184</v>
      </c>
    </row>
    <row r="6334" s="3" customFormat="1" ht="18.75" spans="1:5">
      <c r="A6334" s="8" t="str">
        <f t="shared" si="110"/>
        <v>250028</v>
      </c>
      <c r="B6334" s="8" t="str">
        <f>"2561407011216"</f>
        <v>2561407011216</v>
      </c>
      <c r="C6334" s="8" t="s">
        <v>13</v>
      </c>
      <c r="D6334" s="9">
        <v>0</v>
      </c>
      <c r="E6334" s="8">
        <v>184</v>
      </c>
    </row>
    <row r="6335" s="3" customFormat="1" ht="18.75" spans="1:5">
      <c r="A6335" s="8" t="str">
        <f t="shared" si="110"/>
        <v>250028</v>
      </c>
      <c r="B6335" s="8" t="str">
        <f>"2561407011219"</f>
        <v>2561407011219</v>
      </c>
      <c r="C6335" s="8" t="s">
        <v>13</v>
      </c>
      <c r="D6335" s="9">
        <v>0</v>
      </c>
      <c r="E6335" s="8">
        <v>184</v>
      </c>
    </row>
    <row r="6336" s="3" customFormat="1" ht="18.75" spans="1:5">
      <c r="A6336" s="8" t="str">
        <f t="shared" si="110"/>
        <v>250028</v>
      </c>
      <c r="B6336" s="8" t="str">
        <f>"2561407011222"</f>
        <v>2561407011222</v>
      </c>
      <c r="C6336" s="8" t="s">
        <v>13</v>
      </c>
      <c r="D6336" s="9">
        <v>0</v>
      </c>
      <c r="E6336" s="8">
        <v>184</v>
      </c>
    </row>
    <row r="6337" s="3" customFormat="1" ht="18.75" spans="1:5">
      <c r="A6337" s="8" t="str">
        <f t="shared" si="110"/>
        <v>250028</v>
      </c>
      <c r="B6337" s="8" t="str">
        <f>"2561407011224"</f>
        <v>2561407011224</v>
      </c>
      <c r="C6337" s="8" t="s">
        <v>13</v>
      </c>
      <c r="D6337" s="9">
        <v>0</v>
      </c>
      <c r="E6337" s="8">
        <v>184</v>
      </c>
    </row>
    <row r="6338" s="3" customFormat="1" ht="18.75" spans="1:5">
      <c r="A6338" s="8" t="str">
        <f t="shared" ref="A6338:A6401" si="111">"250028"</f>
        <v>250028</v>
      </c>
      <c r="B6338" s="8" t="str">
        <f>"2561407011225"</f>
        <v>2561407011225</v>
      </c>
      <c r="C6338" s="8" t="s">
        <v>13</v>
      </c>
      <c r="D6338" s="9">
        <v>0</v>
      </c>
      <c r="E6338" s="8">
        <v>184</v>
      </c>
    </row>
    <row r="6339" s="3" customFormat="1" ht="18.75" spans="1:5">
      <c r="A6339" s="8" t="str">
        <f t="shared" si="111"/>
        <v>250028</v>
      </c>
      <c r="B6339" s="8" t="str">
        <f>"2561407011226"</f>
        <v>2561407011226</v>
      </c>
      <c r="C6339" s="8" t="s">
        <v>13</v>
      </c>
      <c r="D6339" s="9">
        <v>0</v>
      </c>
      <c r="E6339" s="8">
        <v>184</v>
      </c>
    </row>
    <row r="6340" s="3" customFormat="1" ht="18.75" spans="1:5">
      <c r="A6340" s="8" t="str">
        <f t="shared" si="111"/>
        <v>250028</v>
      </c>
      <c r="B6340" s="8" t="str">
        <f>"2561407011227"</f>
        <v>2561407011227</v>
      </c>
      <c r="C6340" s="8" t="s">
        <v>13</v>
      </c>
      <c r="D6340" s="9">
        <v>0</v>
      </c>
      <c r="E6340" s="8">
        <v>184</v>
      </c>
    </row>
    <row r="6341" s="3" customFormat="1" ht="18.75" spans="1:5">
      <c r="A6341" s="8" t="str">
        <f t="shared" si="111"/>
        <v>250028</v>
      </c>
      <c r="B6341" s="8" t="str">
        <f>"2561407011229"</f>
        <v>2561407011229</v>
      </c>
      <c r="C6341" s="8" t="s">
        <v>13</v>
      </c>
      <c r="D6341" s="9">
        <v>0</v>
      </c>
      <c r="E6341" s="8">
        <v>184</v>
      </c>
    </row>
    <row r="6342" s="3" customFormat="1" ht="18.75" spans="1:5">
      <c r="A6342" s="8" t="str">
        <f t="shared" si="111"/>
        <v>250028</v>
      </c>
      <c r="B6342" s="8" t="str">
        <f>"2561407011230"</f>
        <v>2561407011230</v>
      </c>
      <c r="C6342" s="8" t="s">
        <v>13</v>
      </c>
      <c r="D6342" s="9">
        <v>0</v>
      </c>
      <c r="E6342" s="8">
        <v>184</v>
      </c>
    </row>
    <row r="6343" s="3" customFormat="1" ht="18.75" spans="1:5">
      <c r="A6343" s="8" t="str">
        <f t="shared" si="111"/>
        <v>250028</v>
      </c>
      <c r="B6343" s="8" t="str">
        <f>"2561407011301"</f>
        <v>2561407011301</v>
      </c>
      <c r="C6343" s="8" t="s">
        <v>13</v>
      </c>
      <c r="D6343" s="9">
        <v>0</v>
      </c>
      <c r="E6343" s="8">
        <v>184</v>
      </c>
    </row>
    <row r="6344" s="3" customFormat="1" ht="18.75" spans="1:5">
      <c r="A6344" s="8" t="str">
        <f t="shared" si="111"/>
        <v>250028</v>
      </c>
      <c r="B6344" s="8" t="str">
        <f>"2561407011304"</f>
        <v>2561407011304</v>
      </c>
      <c r="C6344" s="8" t="s">
        <v>13</v>
      </c>
      <c r="D6344" s="9">
        <v>0</v>
      </c>
      <c r="E6344" s="8">
        <v>184</v>
      </c>
    </row>
    <row r="6345" s="3" customFormat="1" ht="18.75" spans="1:5">
      <c r="A6345" s="8" t="str">
        <f t="shared" si="111"/>
        <v>250028</v>
      </c>
      <c r="B6345" s="8" t="str">
        <f>"2561407011305"</f>
        <v>2561407011305</v>
      </c>
      <c r="C6345" s="8" t="s">
        <v>13</v>
      </c>
      <c r="D6345" s="9">
        <v>0</v>
      </c>
      <c r="E6345" s="8">
        <v>184</v>
      </c>
    </row>
    <row r="6346" s="3" customFormat="1" ht="18.75" spans="1:5">
      <c r="A6346" s="8" t="str">
        <f t="shared" si="111"/>
        <v>250028</v>
      </c>
      <c r="B6346" s="8" t="str">
        <f>"2561407011308"</f>
        <v>2561407011308</v>
      </c>
      <c r="C6346" s="8" t="s">
        <v>13</v>
      </c>
      <c r="D6346" s="9">
        <v>0</v>
      </c>
      <c r="E6346" s="8">
        <v>184</v>
      </c>
    </row>
    <row r="6347" s="3" customFormat="1" ht="18.75" spans="1:5">
      <c r="A6347" s="8" t="str">
        <f t="shared" si="111"/>
        <v>250028</v>
      </c>
      <c r="B6347" s="8" t="str">
        <f>"2561407011312"</f>
        <v>2561407011312</v>
      </c>
      <c r="C6347" s="8" t="s">
        <v>13</v>
      </c>
      <c r="D6347" s="9">
        <v>0</v>
      </c>
      <c r="E6347" s="8">
        <v>184</v>
      </c>
    </row>
    <row r="6348" s="3" customFormat="1" ht="18.75" spans="1:5">
      <c r="A6348" s="8" t="str">
        <f t="shared" si="111"/>
        <v>250028</v>
      </c>
      <c r="B6348" s="8" t="str">
        <f>"2561407011314"</f>
        <v>2561407011314</v>
      </c>
      <c r="C6348" s="8" t="s">
        <v>13</v>
      </c>
      <c r="D6348" s="9">
        <v>0</v>
      </c>
      <c r="E6348" s="8">
        <v>184</v>
      </c>
    </row>
    <row r="6349" s="3" customFormat="1" ht="18.75" spans="1:5">
      <c r="A6349" s="8" t="str">
        <f t="shared" si="111"/>
        <v>250028</v>
      </c>
      <c r="B6349" s="8" t="str">
        <f>"2561407011315"</f>
        <v>2561407011315</v>
      </c>
      <c r="C6349" s="8" t="s">
        <v>13</v>
      </c>
      <c r="D6349" s="9">
        <v>0</v>
      </c>
      <c r="E6349" s="8">
        <v>184</v>
      </c>
    </row>
    <row r="6350" s="3" customFormat="1" ht="18.75" spans="1:5">
      <c r="A6350" s="8" t="str">
        <f t="shared" si="111"/>
        <v>250028</v>
      </c>
      <c r="B6350" s="8" t="str">
        <f>"2561407011319"</f>
        <v>2561407011319</v>
      </c>
      <c r="C6350" s="8" t="s">
        <v>13</v>
      </c>
      <c r="D6350" s="9">
        <v>0</v>
      </c>
      <c r="E6350" s="8">
        <v>184</v>
      </c>
    </row>
    <row r="6351" s="3" customFormat="1" ht="18.75" spans="1:5">
      <c r="A6351" s="8" t="str">
        <f t="shared" si="111"/>
        <v>250028</v>
      </c>
      <c r="B6351" s="8" t="str">
        <f>"2561407011320"</f>
        <v>2561407011320</v>
      </c>
      <c r="C6351" s="8" t="s">
        <v>13</v>
      </c>
      <c r="D6351" s="9">
        <v>0</v>
      </c>
      <c r="E6351" s="8">
        <v>184</v>
      </c>
    </row>
    <row r="6352" s="3" customFormat="1" ht="18.75" spans="1:5">
      <c r="A6352" s="8" t="str">
        <f t="shared" si="111"/>
        <v>250028</v>
      </c>
      <c r="B6352" s="8" t="str">
        <f>"2561407011322"</f>
        <v>2561407011322</v>
      </c>
      <c r="C6352" s="8" t="s">
        <v>13</v>
      </c>
      <c r="D6352" s="9">
        <v>0</v>
      </c>
      <c r="E6352" s="8">
        <v>184</v>
      </c>
    </row>
    <row r="6353" s="3" customFormat="1" ht="18.75" spans="1:5">
      <c r="A6353" s="8" t="str">
        <f t="shared" si="111"/>
        <v>250028</v>
      </c>
      <c r="B6353" s="8" t="str">
        <f>"2561407011324"</f>
        <v>2561407011324</v>
      </c>
      <c r="C6353" s="8" t="s">
        <v>13</v>
      </c>
      <c r="D6353" s="9">
        <v>0</v>
      </c>
      <c r="E6353" s="8">
        <v>184</v>
      </c>
    </row>
    <row r="6354" s="3" customFormat="1" ht="18.75" spans="1:5">
      <c r="A6354" s="8" t="str">
        <f t="shared" si="111"/>
        <v>250028</v>
      </c>
      <c r="B6354" s="8" t="str">
        <f>"2561407011325"</f>
        <v>2561407011325</v>
      </c>
      <c r="C6354" s="8" t="s">
        <v>13</v>
      </c>
      <c r="D6354" s="9">
        <v>0</v>
      </c>
      <c r="E6354" s="8">
        <v>184</v>
      </c>
    </row>
    <row r="6355" s="3" customFormat="1" ht="18.75" spans="1:5">
      <c r="A6355" s="8" t="str">
        <f t="shared" si="111"/>
        <v>250028</v>
      </c>
      <c r="B6355" s="8" t="str">
        <f>"2561407011401"</f>
        <v>2561407011401</v>
      </c>
      <c r="C6355" s="8" t="s">
        <v>13</v>
      </c>
      <c r="D6355" s="9">
        <v>0</v>
      </c>
      <c r="E6355" s="8">
        <v>184</v>
      </c>
    </row>
    <row r="6356" s="3" customFormat="1" ht="18.75" spans="1:5">
      <c r="A6356" s="8" t="str">
        <f t="shared" si="111"/>
        <v>250028</v>
      </c>
      <c r="B6356" s="8" t="str">
        <f>"2561407011402"</f>
        <v>2561407011402</v>
      </c>
      <c r="C6356" s="8" t="s">
        <v>13</v>
      </c>
      <c r="D6356" s="9">
        <v>0</v>
      </c>
      <c r="E6356" s="8">
        <v>184</v>
      </c>
    </row>
    <row r="6357" s="3" customFormat="1" ht="18.75" spans="1:5">
      <c r="A6357" s="8" t="str">
        <f t="shared" si="111"/>
        <v>250028</v>
      </c>
      <c r="B6357" s="8" t="str">
        <f>"2561407011404"</f>
        <v>2561407011404</v>
      </c>
      <c r="C6357" s="8" t="s">
        <v>13</v>
      </c>
      <c r="D6357" s="9">
        <v>0</v>
      </c>
      <c r="E6357" s="8">
        <v>184</v>
      </c>
    </row>
    <row r="6358" s="3" customFormat="1" ht="18.75" spans="1:5">
      <c r="A6358" s="8" t="str">
        <f t="shared" si="111"/>
        <v>250028</v>
      </c>
      <c r="B6358" s="8" t="str">
        <f>"2561407011406"</f>
        <v>2561407011406</v>
      </c>
      <c r="C6358" s="8" t="s">
        <v>13</v>
      </c>
      <c r="D6358" s="9">
        <v>0</v>
      </c>
      <c r="E6358" s="8">
        <v>184</v>
      </c>
    </row>
    <row r="6359" s="3" customFormat="1" ht="18.75" spans="1:5">
      <c r="A6359" s="8" t="str">
        <f t="shared" si="111"/>
        <v>250028</v>
      </c>
      <c r="B6359" s="8" t="str">
        <f>"2561407011407"</f>
        <v>2561407011407</v>
      </c>
      <c r="C6359" s="8" t="s">
        <v>13</v>
      </c>
      <c r="D6359" s="9">
        <v>0</v>
      </c>
      <c r="E6359" s="8">
        <v>184</v>
      </c>
    </row>
    <row r="6360" s="3" customFormat="1" ht="18.75" spans="1:5">
      <c r="A6360" s="8" t="str">
        <f t="shared" si="111"/>
        <v>250028</v>
      </c>
      <c r="B6360" s="8" t="str">
        <f>"2561407011408"</f>
        <v>2561407011408</v>
      </c>
      <c r="C6360" s="8" t="s">
        <v>13</v>
      </c>
      <c r="D6360" s="9">
        <v>0</v>
      </c>
      <c r="E6360" s="8">
        <v>184</v>
      </c>
    </row>
    <row r="6361" s="3" customFormat="1" ht="18.75" spans="1:5">
      <c r="A6361" s="8" t="str">
        <f t="shared" si="111"/>
        <v>250028</v>
      </c>
      <c r="B6361" s="8" t="str">
        <f>"2561407011414"</f>
        <v>2561407011414</v>
      </c>
      <c r="C6361" s="8" t="s">
        <v>13</v>
      </c>
      <c r="D6361" s="9">
        <v>0</v>
      </c>
      <c r="E6361" s="8">
        <v>184</v>
      </c>
    </row>
    <row r="6362" s="3" customFormat="1" ht="18.75" spans="1:5">
      <c r="A6362" s="8" t="str">
        <f t="shared" si="111"/>
        <v>250028</v>
      </c>
      <c r="B6362" s="8" t="str">
        <f>"2561407011417"</f>
        <v>2561407011417</v>
      </c>
      <c r="C6362" s="8" t="s">
        <v>13</v>
      </c>
      <c r="D6362" s="9">
        <v>0</v>
      </c>
      <c r="E6362" s="8">
        <v>184</v>
      </c>
    </row>
    <row r="6363" s="3" customFormat="1" ht="18.75" spans="1:5">
      <c r="A6363" s="8" t="str">
        <f t="shared" si="111"/>
        <v>250028</v>
      </c>
      <c r="B6363" s="8" t="str">
        <f>"2561407011424"</f>
        <v>2561407011424</v>
      </c>
      <c r="C6363" s="8" t="s">
        <v>13</v>
      </c>
      <c r="D6363" s="9">
        <v>0</v>
      </c>
      <c r="E6363" s="8">
        <v>184</v>
      </c>
    </row>
    <row r="6364" s="3" customFormat="1" ht="18.75" spans="1:5">
      <c r="A6364" s="8" t="str">
        <f t="shared" si="111"/>
        <v>250028</v>
      </c>
      <c r="B6364" s="8" t="str">
        <f>"2561407011426"</f>
        <v>2561407011426</v>
      </c>
      <c r="C6364" s="8" t="s">
        <v>13</v>
      </c>
      <c r="D6364" s="9">
        <v>0</v>
      </c>
      <c r="E6364" s="8">
        <v>184</v>
      </c>
    </row>
    <row r="6365" s="3" customFormat="1" ht="18.75" spans="1:5">
      <c r="A6365" s="8" t="str">
        <f t="shared" si="111"/>
        <v>250028</v>
      </c>
      <c r="B6365" s="8" t="str">
        <f>"2561407011427"</f>
        <v>2561407011427</v>
      </c>
      <c r="C6365" s="8" t="s">
        <v>13</v>
      </c>
      <c r="D6365" s="9">
        <v>0</v>
      </c>
      <c r="E6365" s="8">
        <v>184</v>
      </c>
    </row>
    <row r="6366" s="3" customFormat="1" ht="18.75" spans="1:5">
      <c r="A6366" s="8" t="str">
        <f t="shared" si="111"/>
        <v>250028</v>
      </c>
      <c r="B6366" s="8" t="str">
        <f>"2561407011428"</f>
        <v>2561407011428</v>
      </c>
      <c r="C6366" s="8" t="s">
        <v>13</v>
      </c>
      <c r="D6366" s="9">
        <v>0</v>
      </c>
      <c r="E6366" s="8">
        <v>184</v>
      </c>
    </row>
    <row r="6367" s="3" customFormat="1" ht="18.75" spans="1:5">
      <c r="A6367" s="8" t="str">
        <f t="shared" si="111"/>
        <v>250028</v>
      </c>
      <c r="B6367" s="8" t="str">
        <f>"2561407011429"</f>
        <v>2561407011429</v>
      </c>
      <c r="C6367" s="8" t="s">
        <v>13</v>
      </c>
      <c r="D6367" s="9">
        <v>0</v>
      </c>
      <c r="E6367" s="8">
        <v>184</v>
      </c>
    </row>
    <row r="6368" s="3" customFormat="1" ht="18.75" spans="1:5">
      <c r="A6368" s="8" t="str">
        <f t="shared" si="111"/>
        <v>250028</v>
      </c>
      <c r="B6368" s="8" t="str">
        <f>"2561407011502"</f>
        <v>2561407011502</v>
      </c>
      <c r="C6368" s="8" t="s">
        <v>13</v>
      </c>
      <c r="D6368" s="9">
        <v>0</v>
      </c>
      <c r="E6368" s="8">
        <v>184</v>
      </c>
    </row>
    <row r="6369" s="3" customFormat="1" ht="18.75" spans="1:5">
      <c r="A6369" s="8" t="str">
        <f t="shared" si="111"/>
        <v>250028</v>
      </c>
      <c r="B6369" s="8" t="str">
        <f>"2561407011506"</f>
        <v>2561407011506</v>
      </c>
      <c r="C6369" s="8" t="s">
        <v>13</v>
      </c>
      <c r="D6369" s="9">
        <v>0</v>
      </c>
      <c r="E6369" s="8">
        <v>184</v>
      </c>
    </row>
    <row r="6370" s="3" customFormat="1" ht="18.75" spans="1:5">
      <c r="A6370" s="8" t="str">
        <f t="shared" si="111"/>
        <v>250028</v>
      </c>
      <c r="B6370" s="8" t="str">
        <f>"2561407011507"</f>
        <v>2561407011507</v>
      </c>
      <c r="C6370" s="8" t="s">
        <v>13</v>
      </c>
      <c r="D6370" s="9">
        <v>0</v>
      </c>
      <c r="E6370" s="8">
        <v>184</v>
      </c>
    </row>
    <row r="6371" s="3" customFormat="1" ht="18.75" spans="1:5">
      <c r="A6371" s="8" t="str">
        <f t="shared" si="111"/>
        <v>250028</v>
      </c>
      <c r="B6371" s="8" t="str">
        <f>"2561407011508"</f>
        <v>2561407011508</v>
      </c>
      <c r="C6371" s="8" t="s">
        <v>13</v>
      </c>
      <c r="D6371" s="9">
        <v>0</v>
      </c>
      <c r="E6371" s="8">
        <v>184</v>
      </c>
    </row>
    <row r="6372" s="3" customFormat="1" ht="18.75" spans="1:5">
      <c r="A6372" s="8" t="str">
        <f t="shared" si="111"/>
        <v>250028</v>
      </c>
      <c r="B6372" s="8" t="str">
        <f>"2561407011511"</f>
        <v>2561407011511</v>
      </c>
      <c r="C6372" s="8" t="s">
        <v>13</v>
      </c>
      <c r="D6372" s="9">
        <v>0</v>
      </c>
      <c r="E6372" s="8">
        <v>184</v>
      </c>
    </row>
    <row r="6373" s="3" customFormat="1" ht="18.75" spans="1:5">
      <c r="A6373" s="8" t="str">
        <f t="shared" si="111"/>
        <v>250028</v>
      </c>
      <c r="B6373" s="8" t="str">
        <f>"2561407011513"</f>
        <v>2561407011513</v>
      </c>
      <c r="C6373" s="8" t="s">
        <v>13</v>
      </c>
      <c r="D6373" s="9">
        <v>0</v>
      </c>
      <c r="E6373" s="8">
        <v>184</v>
      </c>
    </row>
    <row r="6374" s="3" customFormat="1" ht="18.75" spans="1:5">
      <c r="A6374" s="8" t="str">
        <f t="shared" si="111"/>
        <v>250028</v>
      </c>
      <c r="B6374" s="8" t="str">
        <f>"2561407011514"</f>
        <v>2561407011514</v>
      </c>
      <c r="C6374" s="8" t="s">
        <v>13</v>
      </c>
      <c r="D6374" s="9">
        <v>0</v>
      </c>
      <c r="E6374" s="8">
        <v>184</v>
      </c>
    </row>
    <row r="6375" s="3" customFormat="1" ht="18.75" spans="1:5">
      <c r="A6375" s="8" t="str">
        <f t="shared" si="111"/>
        <v>250028</v>
      </c>
      <c r="B6375" s="8" t="str">
        <f>"2561407011516"</f>
        <v>2561407011516</v>
      </c>
      <c r="C6375" s="8" t="s">
        <v>13</v>
      </c>
      <c r="D6375" s="9">
        <v>0</v>
      </c>
      <c r="E6375" s="8">
        <v>184</v>
      </c>
    </row>
    <row r="6376" s="3" customFormat="1" ht="18.75" spans="1:5">
      <c r="A6376" s="8" t="str">
        <f t="shared" si="111"/>
        <v>250028</v>
      </c>
      <c r="B6376" s="8" t="str">
        <f>"2561407011519"</f>
        <v>2561407011519</v>
      </c>
      <c r="C6376" s="8" t="s">
        <v>13</v>
      </c>
      <c r="D6376" s="9">
        <v>0</v>
      </c>
      <c r="E6376" s="8">
        <v>184</v>
      </c>
    </row>
    <row r="6377" s="3" customFormat="1" ht="18.75" spans="1:5">
      <c r="A6377" s="8" t="str">
        <f t="shared" si="111"/>
        <v>250028</v>
      </c>
      <c r="B6377" s="8" t="str">
        <f>"2561407011521"</f>
        <v>2561407011521</v>
      </c>
      <c r="C6377" s="8" t="s">
        <v>13</v>
      </c>
      <c r="D6377" s="9">
        <v>0</v>
      </c>
      <c r="E6377" s="8">
        <v>184</v>
      </c>
    </row>
    <row r="6378" s="3" customFormat="1" ht="18.75" spans="1:5">
      <c r="A6378" s="8" t="str">
        <f t="shared" si="111"/>
        <v>250028</v>
      </c>
      <c r="B6378" s="8" t="str">
        <f>"2561407011523"</f>
        <v>2561407011523</v>
      </c>
      <c r="C6378" s="8" t="s">
        <v>13</v>
      </c>
      <c r="D6378" s="9">
        <v>0</v>
      </c>
      <c r="E6378" s="8">
        <v>184</v>
      </c>
    </row>
    <row r="6379" s="3" customFormat="1" ht="18.75" spans="1:5">
      <c r="A6379" s="8" t="str">
        <f t="shared" si="111"/>
        <v>250028</v>
      </c>
      <c r="B6379" s="8" t="str">
        <f>"2561407011524"</f>
        <v>2561407011524</v>
      </c>
      <c r="C6379" s="8" t="s">
        <v>13</v>
      </c>
      <c r="D6379" s="9">
        <v>0</v>
      </c>
      <c r="E6379" s="8">
        <v>184</v>
      </c>
    </row>
    <row r="6380" s="3" customFormat="1" ht="18.75" spans="1:5">
      <c r="A6380" s="8" t="str">
        <f t="shared" si="111"/>
        <v>250028</v>
      </c>
      <c r="B6380" s="8" t="str">
        <f>"2561407011601"</f>
        <v>2561407011601</v>
      </c>
      <c r="C6380" s="8" t="s">
        <v>13</v>
      </c>
      <c r="D6380" s="9">
        <v>0</v>
      </c>
      <c r="E6380" s="8">
        <v>184</v>
      </c>
    </row>
    <row r="6381" s="3" customFormat="1" ht="18.75" spans="1:5">
      <c r="A6381" s="8" t="str">
        <f t="shared" si="111"/>
        <v>250028</v>
      </c>
      <c r="B6381" s="8" t="str">
        <f>"2561407011604"</f>
        <v>2561407011604</v>
      </c>
      <c r="C6381" s="8" t="s">
        <v>13</v>
      </c>
      <c r="D6381" s="9">
        <v>0</v>
      </c>
      <c r="E6381" s="8">
        <v>184</v>
      </c>
    </row>
    <row r="6382" s="3" customFormat="1" ht="18.75" spans="1:5">
      <c r="A6382" s="8" t="str">
        <f t="shared" si="111"/>
        <v>250028</v>
      </c>
      <c r="B6382" s="8" t="str">
        <f>"2561407011606"</f>
        <v>2561407011606</v>
      </c>
      <c r="C6382" s="8" t="s">
        <v>13</v>
      </c>
      <c r="D6382" s="9">
        <v>0</v>
      </c>
      <c r="E6382" s="8">
        <v>184</v>
      </c>
    </row>
    <row r="6383" s="3" customFormat="1" ht="18.75" spans="1:5">
      <c r="A6383" s="8" t="str">
        <f t="shared" si="111"/>
        <v>250028</v>
      </c>
      <c r="B6383" s="8" t="str">
        <f>"2561407011607"</f>
        <v>2561407011607</v>
      </c>
      <c r="C6383" s="8" t="s">
        <v>13</v>
      </c>
      <c r="D6383" s="9">
        <v>0</v>
      </c>
      <c r="E6383" s="8">
        <v>184</v>
      </c>
    </row>
    <row r="6384" s="3" customFormat="1" ht="18.75" spans="1:5">
      <c r="A6384" s="8" t="str">
        <f t="shared" si="111"/>
        <v>250028</v>
      </c>
      <c r="B6384" s="8" t="str">
        <f>"2561407011609"</f>
        <v>2561407011609</v>
      </c>
      <c r="C6384" s="8" t="s">
        <v>13</v>
      </c>
      <c r="D6384" s="9">
        <v>0</v>
      </c>
      <c r="E6384" s="8">
        <v>184</v>
      </c>
    </row>
    <row r="6385" s="3" customFormat="1" ht="18.75" spans="1:5">
      <c r="A6385" s="8" t="str">
        <f t="shared" si="111"/>
        <v>250028</v>
      </c>
      <c r="B6385" s="8" t="str">
        <f>"2561407011611"</f>
        <v>2561407011611</v>
      </c>
      <c r="C6385" s="8" t="s">
        <v>13</v>
      </c>
      <c r="D6385" s="9">
        <v>0</v>
      </c>
      <c r="E6385" s="8">
        <v>184</v>
      </c>
    </row>
    <row r="6386" s="3" customFormat="1" ht="18.75" spans="1:5">
      <c r="A6386" s="8" t="str">
        <f t="shared" si="111"/>
        <v>250028</v>
      </c>
      <c r="B6386" s="8" t="str">
        <f>"2561407011612"</f>
        <v>2561407011612</v>
      </c>
      <c r="C6386" s="8" t="s">
        <v>13</v>
      </c>
      <c r="D6386" s="9">
        <v>0</v>
      </c>
      <c r="E6386" s="8">
        <v>184</v>
      </c>
    </row>
    <row r="6387" s="3" customFormat="1" ht="18.75" spans="1:5">
      <c r="A6387" s="8" t="str">
        <f t="shared" si="111"/>
        <v>250028</v>
      </c>
      <c r="B6387" s="8" t="str">
        <f>"2561407011613"</f>
        <v>2561407011613</v>
      </c>
      <c r="C6387" s="8" t="s">
        <v>13</v>
      </c>
      <c r="D6387" s="9">
        <v>0</v>
      </c>
      <c r="E6387" s="8">
        <v>184</v>
      </c>
    </row>
    <row r="6388" s="3" customFormat="1" ht="18.75" spans="1:5">
      <c r="A6388" s="8" t="str">
        <f t="shared" si="111"/>
        <v>250028</v>
      </c>
      <c r="B6388" s="8" t="str">
        <f>"2561407011614"</f>
        <v>2561407011614</v>
      </c>
      <c r="C6388" s="8" t="s">
        <v>13</v>
      </c>
      <c r="D6388" s="9">
        <v>0</v>
      </c>
      <c r="E6388" s="8">
        <v>184</v>
      </c>
    </row>
    <row r="6389" s="3" customFormat="1" ht="18.75" spans="1:5">
      <c r="A6389" s="8" t="str">
        <f t="shared" si="111"/>
        <v>250028</v>
      </c>
      <c r="B6389" s="8" t="str">
        <f>"2561407011615"</f>
        <v>2561407011615</v>
      </c>
      <c r="C6389" s="8" t="s">
        <v>13</v>
      </c>
      <c r="D6389" s="9">
        <v>0</v>
      </c>
      <c r="E6389" s="8">
        <v>184</v>
      </c>
    </row>
    <row r="6390" s="3" customFormat="1" ht="18.75" spans="1:5">
      <c r="A6390" s="8" t="str">
        <f t="shared" si="111"/>
        <v>250028</v>
      </c>
      <c r="B6390" s="8" t="str">
        <f>"2561407011616"</f>
        <v>2561407011616</v>
      </c>
      <c r="C6390" s="8" t="s">
        <v>13</v>
      </c>
      <c r="D6390" s="9">
        <v>0</v>
      </c>
      <c r="E6390" s="8">
        <v>184</v>
      </c>
    </row>
    <row r="6391" s="3" customFormat="1" ht="18.75" spans="1:5">
      <c r="A6391" s="8" t="str">
        <f t="shared" si="111"/>
        <v>250028</v>
      </c>
      <c r="B6391" s="8" t="str">
        <f>"2561407011620"</f>
        <v>2561407011620</v>
      </c>
      <c r="C6391" s="8" t="s">
        <v>13</v>
      </c>
      <c r="D6391" s="9">
        <v>0</v>
      </c>
      <c r="E6391" s="8">
        <v>184</v>
      </c>
    </row>
    <row r="6392" s="3" customFormat="1" ht="18.75" spans="1:5">
      <c r="A6392" s="8" t="str">
        <f t="shared" si="111"/>
        <v>250028</v>
      </c>
      <c r="B6392" s="8" t="str">
        <f>"2561407011621"</f>
        <v>2561407011621</v>
      </c>
      <c r="C6392" s="8" t="s">
        <v>13</v>
      </c>
      <c r="D6392" s="9">
        <v>0</v>
      </c>
      <c r="E6392" s="8">
        <v>184</v>
      </c>
    </row>
    <row r="6393" s="3" customFormat="1" ht="18.75" spans="1:5">
      <c r="A6393" s="8" t="str">
        <f t="shared" si="111"/>
        <v>250028</v>
      </c>
      <c r="B6393" s="8" t="str">
        <f>"2561407011622"</f>
        <v>2561407011622</v>
      </c>
      <c r="C6393" s="8" t="s">
        <v>13</v>
      </c>
      <c r="D6393" s="9">
        <v>0</v>
      </c>
      <c r="E6393" s="8">
        <v>184</v>
      </c>
    </row>
    <row r="6394" s="3" customFormat="1" ht="18.75" spans="1:5">
      <c r="A6394" s="8" t="str">
        <f t="shared" si="111"/>
        <v>250028</v>
      </c>
      <c r="B6394" s="8" t="str">
        <f>"2561407011624"</f>
        <v>2561407011624</v>
      </c>
      <c r="C6394" s="8" t="s">
        <v>13</v>
      </c>
      <c r="D6394" s="9">
        <v>0</v>
      </c>
      <c r="E6394" s="8">
        <v>184</v>
      </c>
    </row>
    <row r="6395" s="3" customFormat="1" ht="18.75" spans="1:5">
      <c r="A6395" s="8" t="str">
        <f t="shared" si="111"/>
        <v>250028</v>
      </c>
      <c r="B6395" s="8" t="str">
        <f>"2561407011625"</f>
        <v>2561407011625</v>
      </c>
      <c r="C6395" s="8" t="s">
        <v>13</v>
      </c>
      <c r="D6395" s="9">
        <v>0</v>
      </c>
      <c r="E6395" s="8">
        <v>184</v>
      </c>
    </row>
    <row r="6396" s="3" customFormat="1" ht="18.75" spans="1:5">
      <c r="A6396" s="8" t="str">
        <f t="shared" si="111"/>
        <v>250028</v>
      </c>
      <c r="B6396" s="8" t="str">
        <f>"2561407011626"</f>
        <v>2561407011626</v>
      </c>
      <c r="C6396" s="8" t="s">
        <v>13</v>
      </c>
      <c r="D6396" s="9">
        <v>0</v>
      </c>
      <c r="E6396" s="8">
        <v>184</v>
      </c>
    </row>
    <row r="6397" s="3" customFormat="1" ht="18.75" spans="1:5">
      <c r="A6397" s="8" t="str">
        <f t="shared" si="111"/>
        <v>250028</v>
      </c>
      <c r="B6397" s="8" t="str">
        <f>"2561407011628"</f>
        <v>2561407011628</v>
      </c>
      <c r="C6397" s="8" t="s">
        <v>13</v>
      </c>
      <c r="D6397" s="9">
        <v>0</v>
      </c>
      <c r="E6397" s="8">
        <v>184</v>
      </c>
    </row>
    <row r="6398" s="3" customFormat="1" ht="18.75" spans="1:5">
      <c r="A6398" s="8" t="str">
        <f t="shared" si="111"/>
        <v>250028</v>
      </c>
      <c r="B6398" s="8" t="str">
        <f>"2561407011629"</f>
        <v>2561407011629</v>
      </c>
      <c r="C6398" s="8" t="s">
        <v>13</v>
      </c>
      <c r="D6398" s="9">
        <v>0</v>
      </c>
      <c r="E6398" s="8">
        <v>184</v>
      </c>
    </row>
    <row r="6399" s="3" customFormat="1" ht="18.75" spans="1:5">
      <c r="A6399" s="8" t="str">
        <f t="shared" si="111"/>
        <v>250028</v>
      </c>
      <c r="B6399" s="8" t="str">
        <f>"2561407011701"</f>
        <v>2561407011701</v>
      </c>
      <c r="C6399" s="8" t="s">
        <v>13</v>
      </c>
      <c r="D6399" s="9">
        <v>0</v>
      </c>
      <c r="E6399" s="8">
        <v>184</v>
      </c>
    </row>
    <row r="6400" s="3" customFormat="1" ht="18.75" spans="1:5">
      <c r="A6400" s="8" t="str">
        <f t="shared" si="111"/>
        <v>250028</v>
      </c>
      <c r="B6400" s="8" t="str">
        <f>"2561407011702"</f>
        <v>2561407011702</v>
      </c>
      <c r="C6400" s="8" t="s">
        <v>13</v>
      </c>
      <c r="D6400" s="9">
        <v>0</v>
      </c>
      <c r="E6400" s="8">
        <v>184</v>
      </c>
    </row>
    <row r="6401" s="3" customFormat="1" ht="18.75" spans="1:5">
      <c r="A6401" s="8" t="str">
        <f t="shared" si="111"/>
        <v>250028</v>
      </c>
      <c r="B6401" s="8" t="str">
        <f>"2561407011704"</f>
        <v>2561407011704</v>
      </c>
      <c r="C6401" s="8" t="s">
        <v>13</v>
      </c>
      <c r="D6401" s="9">
        <v>0</v>
      </c>
      <c r="E6401" s="8">
        <v>184</v>
      </c>
    </row>
    <row r="6402" s="3" customFormat="1" ht="18.75" spans="1:5">
      <c r="A6402" s="8" t="str">
        <f t="shared" ref="A6402:A6465" si="112">"250028"</f>
        <v>250028</v>
      </c>
      <c r="B6402" s="8" t="str">
        <f>"2561407011707"</f>
        <v>2561407011707</v>
      </c>
      <c r="C6402" s="8" t="s">
        <v>13</v>
      </c>
      <c r="D6402" s="9">
        <v>0</v>
      </c>
      <c r="E6402" s="8">
        <v>184</v>
      </c>
    </row>
    <row r="6403" s="3" customFormat="1" ht="18.75" spans="1:5">
      <c r="A6403" s="8" t="str">
        <f t="shared" si="112"/>
        <v>250028</v>
      </c>
      <c r="B6403" s="8" t="str">
        <f>"2561407011708"</f>
        <v>2561407011708</v>
      </c>
      <c r="C6403" s="8" t="s">
        <v>13</v>
      </c>
      <c r="D6403" s="9">
        <v>0</v>
      </c>
      <c r="E6403" s="8">
        <v>184</v>
      </c>
    </row>
    <row r="6404" s="3" customFormat="1" ht="18.75" spans="1:5">
      <c r="A6404" s="8" t="str">
        <f t="shared" si="112"/>
        <v>250028</v>
      </c>
      <c r="B6404" s="8" t="str">
        <f>"2561407011709"</f>
        <v>2561407011709</v>
      </c>
      <c r="C6404" s="8" t="s">
        <v>13</v>
      </c>
      <c r="D6404" s="9">
        <v>0</v>
      </c>
      <c r="E6404" s="8">
        <v>184</v>
      </c>
    </row>
    <row r="6405" s="3" customFormat="1" ht="18.75" spans="1:5">
      <c r="A6405" s="8" t="str">
        <f t="shared" si="112"/>
        <v>250028</v>
      </c>
      <c r="B6405" s="8" t="str">
        <f>"2561407011710"</f>
        <v>2561407011710</v>
      </c>
      <c r="C6405" s="8" t="s">
        <v>13</v>
      </c>
      <c r="D6405" s="9">
        <v>0</v>
      </c>
      <c r="E6405" s="8">
        <v>184</v>
      </c>
    </row>
    <row r="6406" s="3" customFormat="1" ht="18.75" spans="1:5">
      <c r="A6406" s="8" t="str">
        <f t="shared" si="112"/>
        <v>250028</v>
      </c>
      <c r="B6406" s="8" t="str">
        <f>"2561407011712"</f>
        <v>2561407011712</v>
      </c>
      <c r="C6406" s="8" t="s">
        <v>13</v>
      </c>
      <c r="D6406" s="9">
        <v>0</v>
      </c>
      <c r="E6406" s="8">
        <v>184</v>
      </c>
    </row>
    <row r="6407" s="3" customFormat="1" ht="18.75" spans="1:5">
      <c r="A6407" s="8" t="str">
        <f t="shared" si="112"/>
        <v>250028</v>
      </c>
      <c r="B6407" s="8" t="str">
        <f>"2561407011713"</f>
        <v>2561407011713</v>
      </c>
      <c r="C6407" s="8" t="s">
        <v>13</v>
      </c>
      <c r="D6407" s="9">
        <v>0</v>
      </c>
      <c r="E6407" s="8">
        <v>184</v>
      </c>
    </row>
    <row r="6408" s="3" customFormat="1" ht="18.75" spans="1:5">
      <c r="A6408" s="8" t="str">
        <f t="shared" si="112"/>
        <v>250028</v>
      </c>
      <c r="B6408" s="8" t="str">
        <f>"2561407011716"</f>
        <v>2561407011716</v>
      </c>
      <c r="C6408" s="8" t="s">
        <v>13</v>
      </c>
      <c r="D6408" s="9">
        <v>0</v>
      </c>
      <c r="E6408" s="8">
        <v>184</v>
      </c>
    </row>
    <row r="6409" s="3" customFormat="1" ht="18.75" spans="1:5">
      <c r="A6409" s="8" t="str">
        <f t="shared" si="112"/>
        <v>250028</v>
      </c>
      <c r="B6409" s="8" t="str">
        <f>"2561407011718"</f>
        <v>2561407011718</v>
      </c>
      <c r="C6409" s="8" t="s">
        <v>13</v>
      </c>
      <c r="D6409" s="9">
        <v>0</v>
      </c>
      <c r="E6409" s="8">
        <v>184</v>
      </c>
    </row>
    <row r="6410" s="3" customFormat="1" ht="18.75" spans="1:5">
      <c r="A6410" s="8" t="str">
        <f t="shared" si="112"/>
        <v>250028</v>
      </c>
      <c r="B6410" s="8" t="str">
        <f>"2561407011719"</f>
        <v>2561407011719</v>
      </c>
      <c r="C6410" s="8" t="s">
        <v>13</v>
      </c>
      <c r="D6410" s="9">
        <v>0</v>
      </c>
      <c r="E6410" s="8">
        <v>184</v>
      </c>
    </row>
    <row r="6411" s="3" customFormat="1" ht="18.75" spans="1:5">
      <c r="A6411" s="8" t="str">
        <f t="shared" si="112"/>
        <v>250028</v>
      </c>
      <c r="B6411" s="8" t="str">
        <f>"2561407011721"</f>
        <v>2561407011721</v>
      </c>
      <c r="C6411" s="8" t="s">
        <v>13</v>
      </c>
      <c r="D6411" s="9">
        <v>0</v>
      </c>
      <c r="E6411" s="8">
        <v>184</v>
      </c>
    </row>
    <row r="6412" s="3" customFormat="1" ht="18.75" spans="1:5">
      <c r="A6412" s="8" t="str">
        <f t="shared" si="112"/>
        <v>250028</v>
      </c>
      <c r="B6412" s="8" t="str">
        <f>"2561407011724"</f>
        <v>2561407011724</v>
      </c>
      <c r="C6412" s="8" t="s">
        <v>13</v>
      </c>
      <c r="D6412" s="9">
        <v>0</v>
      </c>
      <c r="E6412" s="8">
        <v>184</v>
      </c>
    </row>
    <row r="6413" s="3" customFormat="1" ht="18.75" spans="1:5">
      <c r="A6413" s="8" t="str">
        <f t="shared" si="112"/>
        <v>250028</v>
      </c>
      <c r="B6413" s="8" t="str">
        <f>"2561407011725"</f>
        <v>2561407011725</v>
      </c>
      <c r="C6413" s="8" t="s">
        <v>13</v>
      </c>
      <c r="D6413" s="9">
        <v>0</v>
      </c>
      <c r="E6413" s="8">
        <v>184</v>
      </c>
    </row>
    <row r="6414" s="3" customFormat="1" ht="18.75" spans="1:5">
      <c r="A6414" s="8" t="str">
        <f t="shared" si="112"/>
        <v>250028</v>
      </c>
      <c r="B6414" s="8" t="str">
        <f>"2561407011727"</f>
        <v>2561407011727</v>
      </c>
      <c r="C6414" s="8" t="s">
        <v>13</v>
      </c>
      <c r="D6414" s="9">
        <v>0</v>
      </c>
      <c r="E6414" s="8">
        <v>184</v>
      </c>
    </row>
    <row r="6415" s="3" customFormat="1" ht="18.75" spans="1:5">
      <c r="A6415" s="8" t="str">
        <f t="shared" si="112"/>
        <v>250028</v>
      </c>
      <c r="B6415" s="8" t="str">
        <f>"2561407011729"</f>
        <v>2561407011729</v>
      </c>
      <c r="C6415" s="8" t="s">
        <v>13</v>
      </c>
      <c r="D6415" s="9">
        <v>0</v>
      </c>
      <c r="E6415" s="8">
        <v>184</v>
      </c>
    </row>
    <row r="6416" s="3" customFormat="1" ht="18.75" spans="1:5">
      <c r="A6416" s="8" t="str">
        <f t="shared" si="112"/>
        <v>250028</v>
      </c>
      <c r="B6416" s="8" t="str">
        <f>"2561407011802"</f>
        <v>2561407011802</v>
      </c>
      <c r="C6416" s="8" t="s">
        <v>13</v>
      </c>
      <c r="D6416" s="9">
        <v>0</v>
      </c>
      <c r="E6416" s="8">
        <v>184</v>
      </c>
    </row>
    <row r="6417" s="3" customFormat="1" ht="18.75" spans="1:5">
      <c r="A6417" s="8" t="str">
        <f t="shared" si="112"/>
        <v>250028</v>
      </c>
      <c r="B6417" s="8" t="str">
        <f>"2561407011804"</f>
        <v>2561407011804</v>
      </c>
      <c r="C6417" s="8" t="s">
        <v>13</v>
      </c>
      <c r="D6417" s="9">
        <v>0</v>
      </c>
      <c r="E6417" s="8">
        <v>184</v>
      </c>
    </row>
    <row r="6418" s="3" customFormat="1" ht="18.75" spans="1:5">
      <c r="A6418" s="8" t="str">
        <f t="shared" si="112"/>
        <v>250028</v>
      </c>
      <c r="B6418" s="8" t="str">
        <f>"2561407011805"</f>
        <v>2561407011805</v>
      </c>
      <c r="C6418" s="8" t="s">
        <v>13</v>
      </c>
      <c r="D6418" s="9">
        <v>0</v>
      </c>
      <c r="E6418" s="8">
        <v>184</v>
      </c>
    </row>
    <row r="6419" s="3" customFormat="1" ht="18.75" spans="1:5">
      <c r="A6419" s="8" t="str">
        <f t="shared" si="112"/>
        <v>250028</v>
      </c>
      <c r="B6419" s="8" t="str">
        <f>"2561407011809"</f>
        <v>2561407011809</v>
      </c>
      <c r="C6419" s="8" t="s">
        <v>13</v>
      </c>
      <c r="D6419" s="9">
        <v>0</v>
      </c>
      <c r="E6419" s="8">
        <v>184</v>
      </c>
    </row>
    <row r="6420" s="3" customFormat="1" ht="18.75" spans="1:5">
      <c r="A6420" s="8" t="str">
        <f t="shared" si="112"/>
        <v>250028</v>
      </c>
      <c r="B6420" s="8" t="str">
        <f>"2561407011811"</f>
        <v>2561407011811</v>
      </c>
      <c r="C6420" s="8" t="s">
        <v>13</v>
      </c>
      <c r="D6420" s="9">
        <v>0</v>
      </c>
      <c r="E6420" s="8">
        <v>184</v>
      </c>
    </row>
    <row r="6421" s="3" customFormat="1" ht="18.75" spans="1:5">
      <c r="A6421" s="8" t="str">
        <f t="shared" si="112"/>
        <v>250028</v>
      </c>
      <c r="B6421" s="8" t="str">
        <f>"2561407011813"</f>
        <v>2561407011813</v>
      </c>
      <c r="C6421" s="8" t="s">
        <v>13</v>
      </c>
      <c r="D6421" s="9">
        <v>0</v>
      </c>
      <c r="E6421" s="8">
        <v>184</v>
      </c>
    </row>
    <row r="6422" s="3" customFormat="1" ht="18.75" spans="1:5">
      <c r="A6422" s="8" t="str">
        <f t="shared" si="112"/>
        <v>250028</v>
      </c>
      <c r="B6422" s="8" t="str">
        <f>"2561407011815"</f>
        <v>2561407011815</v>
      </c>
      <c r="C6422" s="8" t="s">
        <v>13</v>
      </c>
      <c r="D6422" s="9">
        <v>0</v>
      </c>
      <c r="E6422" s="8">
        <v>184</v>
      </c>
    </row>
    <row r="6423" s="3" customFormat="1" ht="18.75" spans="1:5">
      <c r="A6423" s="8" t="str">
        <f t="shared" si="112"/>
        <v>250028</v>
      </c>
      <c r="B6423" s="8" t="str">
        <f>"2561407011817"</f>
        <v>2561407011817</v>
      </c>
      <c r="C6423" s="8" t="s">
        <v>13</v>
      </c>
      <c r="D6423" s="9">
        <v>0</v>
      </c>
      <c r="E6423" s="8">
        <v>184</v>
      </c>
    </row>
    <row r="6424" s="3" customFormat="1" ht="18.75" spans="1:5">
      <c r="A6424" s="8" t="str">
        <f t="shared" si="112"/>
        <v>250028</v>
      </c>
      <c r="B6424" s="8" t="str">
        <f>"2561407011819"</f>
        <v>2561407011819</v>
      </c>
      <c r="C6424" s="8" t="s">
        <v>13</v>
      </c>
      <c r="D6424" s="9">
        <v>0</v>
      </c>
      <c r="E6424" s="8">
        <v>184</v>
      </c>
    </row>
    <row r="6425" s="3" customFormat="1" ht="18.75" spans="1:5">
      <c r="A6425" s="8" t="str">
        <f t="shared" si="112"/>
        <v>250028</v>
      </c>
      <c r="B6425" s="8" t="str">
        <f>"2561407011820"</f>
        <v>2561407011820</v>
      </c>
      <c r="C6425" s="8" t="s">
        <v>13</v>
      </c>
      <c r="D6425" s="9">
        <v>0</v>
      </c>
      <c r="E6425" s="8">
        <v>184</v>
      </c>
    </row>
    <row r="6426" s="3" customFormat="1" ht="18.75" spans="1:5">
      <c r="A6426" s="8" t="str">
        <f t="shared" si="112"/>
        <v>250028</v>
      </c>
      <c r="B6426" s="8" t="str">
        <f>"2561407011822"</f>
        <v>2561407011822</v>
      </c>
      <c r="C6426" s="8" t="s">
        <v>13</v>
      </c>
      <c r="D6426" s="9">
        <v>0</v>
      </c>
      <c r="E6426" s="8">
        <v>184</v>
      </c>
    </row>
    <row r="6427" s="3" customFormat="1" ht="18.75" spans="1:5">
      <c r="A6427" s="8" t="str">
        <f t="shared" si="112"/>
        <v>250028</v>
      </c>
      <c r="B6427" s="8" t="str">
        <f>"2561407011823"</f>
        <v>2561407011823</v>
      </c>
      <c r="C6427" s="8" t="s">
        <v>13</v>
      </c>
      <c r="D6427" s="9">
        <v>0</v>
      </c>
      <c r="E6427" s="8">
        <v>184</v>
      </c>
    </row>
    <row r="6428" s="3" customFormat="1" ht="18.75" spans="1:5">
      <c r="A6428" s="8" t="str">
        <f t="shared" si="112"/>
        <v>250028</v>
      </c>
      <c r="B6428" s="8" t="str">
        <f>"2561407011824"</f>
        <v>2561407011824</v>
      </c>
      <c r="C6428" s="8" t="s">
        <v>13</v>
      </c>
      <c r="D6428" s="9">
        <v>0</v>
      </c>
      <c r="E6428" s="8">
        <v>184</v>
      </c>
    </row>
    <row r="6429" s="3" customFormat="1" ht="18.75" spans="1:5">
      <c r="A6429" s="8" t="str">
        <f t="shared" si="112"/>
        <v>250028</v>
      </c>
      <c r="B6429" s="8" t="str">
        <f>"2561407011825"</f>
        <v>2561407011825</v>
      </c>
      <c r="C6429" s="8" t="s">
        <v>13</v>
      </c>
      <c r="D6429" s="9">
        <v>0</v>
      </c>
      <c r="E6429" s="8">
        <v>184</v>
      </c>
    </row>
    <row r="6430" s="3" customFormat="1" ht="18.75" spans="1:5">
      <c r="A6430" s="8" t="str">
        <f t="shared" si="112"/>
        <v>250028</v>
      </c>
      <c r="B6430" s="8" t="str">
        <f>"2561407011828"</f>
        <v>2561407011828</v>
      </c>
      <c r="C6430" s="8" t="s">
        <v>13</v>
      </c>
      <c r="D6430" s="9">
        <v>0</v>
      </c>
      <c r="E6430" s="8">
        <v>184</v>
      </c>
    </row>
    <row r="6431" s="3" customFormat="1" ht="18.75" spans="1:5">
      <c r="A6431" s="8" t="str">
        <f t="shared" si="112"/>
        <v>250028</v>
      </c>
      <c r="B6431" s="8" t="str">
        <f>"2561407011903"</f>
        <v>2561407011903</v>
      </c>
      <c r="C6431" s="8" t="s">
        <v>13</v>
      </c>
      <c r="D6431" s="9">
        <v>0</v>
      </c>
      <c r="E6431" s="8">
        <v>184</v>
      </c>
    </row>
    <row r="6432" s="3" customFormat="1" ht="18.75" spans="1:5">
      <c r="A6432" s="8" t="str">
        <f t="shared" si="112"/>
        <v>250028</v>
      </c>
      <c r="B6432" s="8" t="str">
        <f>"2561407011904"</f>
        <v>2561407011904</v>
      </c>
      <c r="C6432" s="8" t="s">
        <v>13</v>
      </c>
      <c r="D6432" s="9">
        <v>0</v>
      </c>
      <c r="E6432" s="8">
        <v>184</v>
      </c>
    </row>
    <row r="6433" s="3" customFormat="1" ht="18.75" spans="1:5">
      <c r="A6433" s="8" t="str">
        <f t="shared" si="112"/>
        <v>250028</v>
      </c>
      <c r="B6433" s="8" t="str">
        <f>"2561407011914"</f>
        <v>2561407011914</v>
      </c>
      <c r="C6433" s="8" t="s">
        <v>13</v>
      </c>
      <c r="D6433" s="9">
        <v>0</v>
      </c>
      <c r="E6433" s="8">
        <v>184</v>
      </c>
    </row>
    <row r="6434" s="3" customFormat="1" ht="18.75" spans="1:5">
      <c r="A6434" s="8" t="str">
        <f t="shared" si="112"/>
        <v>250028</v>
      </c>
      <c r="B6434" s="8" t="str">
        <f>"2561407011919"</f>
        <v>2561407011919</v>
      </c>
      <c r="C6434" s="8" t="s">
        <v>13</v>
      </c>
      <c r="D6434" s="9">
        <v>0</v>
      </c>
      <c r="E6434" s="8">
        <v>184</v>
      </c>
    </row>
    <row r="6435" s="3" customFormat="1" ht="18.75" spans="1:5">
      <c r="A6435" s="8" t="str">
        <f t="shared" si="112"/>
        <v>250028</v>
      </c>
      <c r="B6435" s="8" t="str">
        <f>"2561407011920"</f>
        <v>2561407011920</v>
      </c>
      <c r="C6435" s="8" t="s">
        <v>13</v>
      </c>
      <c r="D6435" s="9">
        <v>0</v>
      </c>
      <c r="E6435" s="8">
        <v>184</v>
      </c>
    </row>
    <row r="6436" s="3" customFormat="1" ht="18.75" spans="1:5">
      <c r="A6436" s="8" t="str">
        <f t="shared" si="112"/>
        <v>250028</v>
      </c>
      <c r="B6436" s="8" t="str">
        <f>"2561407011921"</f>
        <v>2561407011921</v>
      </c>
      <c r="C6436" s="8" t="s">
        <v>13</v>
      </c>
      <c r="D6436" s="9">
        <v>0</v>
      </c>
      <c r="E6436" s="8">
        <v>184</v>
      </c>
    </row>
    <row r="6437" s="3" customFormat="1" ht="18.75" spans="1:5">
      <c r="A6437" s="8" t="str">
        <f t="shared" si="112"/>
        <v>250028</v>
      </c>
      <c r="B6437" s="8" t="str">
        <f>"2561407011926"</f>
        <v>2561407011926</v>
      </c>
      <c r="C6437" s="8" t="s">
        <v>13</v>
      </c>
      <c r="D6437" s="9">
        <v>0</v>
      </c>
      <c r="E6437" s="8">
        <v>184</v>
      </c>
    </row>
    <row r="6438" s="3" customFormat="1" ht="18.75" spans="1:5">
      <c r="A6438" s="8" t="str">
        <f t="shared" si="112"/>
        <v>250028</v>
      </c>
      <c r="B6438" s="8" t="str">
        <f>"2561407011927"</f>
        <v>2561407011927</v>
      </c>
      <c r="C6438" s="8" t="s">
        <v>13</v>
      </c>
      <c r="D6438" s="9">
        <v>0</v>
      </c>
      <c r="E6438" s="8">
        <v>184</v>
      </c>
    </row>
    <row r="6439" s="3" customFormat="1" ht="18.75" spans="1:5">
      <c r="A6439" s="8" t="str">
        <f t="shared" si="112"/>
        <v>250028</v>
      </c>
      <c r="B6439" s="8" t="str">
        <f>"2561407011928"</f>
        <v>2561407011928</v>
      </c>
      <c r="C6439" s="8" t="s">
        <v>13</v>
      </c>
      <c r="D6439" s="9">
        <v>0</v>
      </c>
      <c r="E6439" s="8">
        <v>184</v>
      </c>
    </row>
    <row r="6440" s="3" customFormat="1" ht="18.75" spans="1:5">
      <c r="A6440" s="8" t="str">
        <f t="shared" si="112"/>
        <v>250028</v>
      </c>
      <c r="B6440" s="8" t="str">
        <f>"2561407012002"</f>
        <v>2561407012002</v>
      </c>
      <c r="C6440" s="8" t="s">
        <v>13</v>
      </c>
      <c r="D6440" s="9">
        <v>0</v>
      </c>
      <c r="E6440" s="8">
        <v>184</v>
      </c>
    </row>
    <row r="6441" s="3" customFormat="1" ht="18.75" spans="1:5">
      <c r="A6441" s="8" t="str">
        <f t="shared" si="112"/>
        <v>250028</v>
      </c>
      <c r="B6441" s="8" t="str">
        <f>"2561407012003"</f>
        <v>2561407012003</v>
      </c>
      <c r="C6441" s="8" t="s">
        <v>13</v>
      </c>
      <c r="D6441" s="9">
        <v>0</v>
      </c>
      <c r="E6441" s="8">
        <v>184</v>
      </c>
    </row>
    <row r="6442" s="3" customFormat="1" ht="18.75" spans="1:5">
      <c r="A6442" s="8" t="str">
        <f t="shared" si="112"/>
        <v>250028</v>
      </c>
      <c r="B6442" s="8" t="str">
        <f>"2561407012009"</f>
        <v>2561407012009</v>
      </c>
      <c r="C6442" s="8" t="s">
        <v>13</v>
      </c>
      <c r="D6442" s="9">
        <v>0</v>
      </c>
      <c r="E6442" s="8">
        <v>184</v>
      </c>
    </row>
    <row r="6443" s="3" customFormat="1" ht="18.75" spans="1:5">
      <c r="A6443" s="8" t="str">
        <f t="shared" si="112"/>
        <v>250028</v>
      </c>
      <c r="B6443" s="8" t="str">
        <f>"2561407012010"</f>
        <v>2561407012010</v>
      </c>
      <c r="C6443" s="8" t="s">
        <v>13</v>
      </c>
      <c r="D6443" s="9">
        <v>0</v>
      </c>
      <c r="E6443" s="8">
        <v>184</v>
      </c>
    </row>
    <row r="6444" s="3" customFormat="1" ht="18.75" spans="1:5">
      <c r="A6444" s="8" t="str">
        <f t="shared" si="112"/>
        <v>250028</v>
      </c>
      <c r="B6444" s="8" t="str">
        <f>"2561407012014"</f>
        <v>2561407012014</v>
      </c>
      <c r="C6444" s="8" t="s">
        <v>13</v>
      </c>
      <c r="D6444" s="9">
        <v>0</v>
      </c>
      <c r="E6444" s="8">
        <v>184</v>
      </c>
    </row>
    <row r="6445" s="3" customFormat="1" ht="18.75" spans="1:5">
      <c r="A6445" s="8" t="str">
        <f t="shared" si="112"/>
        <v>250028</v>
      </c>
      <c r="B6445" s="8" t="str">
        <f>"2561407012015"</f>
        <v>2561407012015</v>
      </c>
      <c r="C6445" s="8" t="s">
        <v>13</v>
      </c>
      <c r="D6445" s="9">
        <v>0</v>
      </c>
      <c r="E6445" s="8">
        <v>184</v>
      </c>
    </row>
    <row r="6446" s="3" customFormat="1" ht="18.75" spans="1:5">
      <c r="A6446" s="8" t="str">
        <f t="shared" si="112"/>
        <v>250028</v>
      </c>
      <c r="B6446" s="8" t="str">
        <f>"2561407012020"</f>
        <v>2561407012020</v>
      </c>
      <c r="C6446" s="8" t="s">
        <v>13</v>
      </c>
      <c r="D6446" s="9">
        <v>0</v>
      </c>
      <c r="E6446" s="8">
        <v>184</v>
      </c>
    </row>
    <row r="6447" s="3" customFormat="1" ht="18.75" spans="1:5">
      <c r="A6447" s="8" t="str">
        <f t="shared" si="112"/>
        <v>250028</v>
      </c>
      <c r="B6447" s="8" t="str">
        <f>"2561407012021"</f>
        <v>2561407012021</v>
      </c>
      <c r="C6447" s="8" t="s">
        <v>13</v>
      </c>
      <c r="D6447" s="9">
        <v>0</v>
      </c>
      <c r="E6447" s="8">
        <v>184</v>
      </c>
    </row>
    <row r="6448" s="3" customFormat="1" ht="18.75" spans="1:5">
      <c r="A6448" s="8" t="str">
        <f t="shared" si="112"/>
        <v>250028</v>
      </c>
      <c r="B6448" s="8" t="str">
        <f>"2561407012022"</f>
        <v>2561407012022</v>
      </c>
      <c r="C6448" s="8" t="s">
        <v>13</v>
      </c>
      <c r="D6448" s="9">
        <v>0</v>
      </c>
      <c r="E6448" s="8">
        <v>184</v>
      </c>
    </row>
    <row r="6449" s="3" customFormat="1" ht="18.75" spans="1:5">
      <c r="A6449" s="8" t="str">
        <f t="shared" si="112"/>
        <v>250028</v>
      </c>
      <c r="B6449" s="8" t="str">
        <f>"2561407012023"</f>
        <v>2561407012023</v>
      </c>
      <c r="C6449" s="8" t="s">
        <v>13</v>
      </c>
      <c r="D6449" s="9">
        <v>0</v>
      </c>
      <c r="E6449" s="8">
        <v>184</v>
      </c>
    </row>
    <row r="6450" s="3" customFormat="1" ht="18.75" spans="1:5">
      <c r="A6450" s="8" t="str">
        <f t="shared" si="112"/>
        <v>250028</v>
      </c>
      <c r="B6450" s="8" t="str">
        <f>"2561407012024"</f>
        <v>2561407012024</v>
      </c>
      <c r="C6450" s="8" t="s">
        <v>13</v>
      </c>
      <c r="D6450" s="9">
        <v>0</v>
      </c>
      <c r="E6450" s="8">
        <v>184</v>
      </c>
    </row>
    <row r="6451" s="3" customFormat="1" ht="18.75" spans="1:5">
      <c r="A6451" s="8" t="str">
        <f t="shared" si="112"/>
        <v>250028</v>
      </c>
      <c r="B6451" s="8" t="str">
        <f>"2561407012026"</f>
        <v>2561407012026</v>
      </c>
      <c r="C6451" s="8" t="s">
        <v>13</v>
      </c>
      <c r="D6451" s="9">
        <v>0</v>
      </c>
      <c r="E6451" s="8">
        <v>184</v>
      </c>
    </row>
    <row r="6452" s="3" customFormat="1" ht="18.75" spans="1:5">
      <c r="A6452" s="8" t="str">
        <f t="shared" si="112"/>
        <v>250028</v>
      </c>
      <c r="B6452" s="8" t="str">
        <f>"2561407012029"</f>
        <v>2561407012029</v>
      </c>
      <c r="C6452" s="8" t="s">
        <v>13</v>
      </c>
      <c r="D6452" s="9">
        <v>0</v>
      </c>
      <c r="E6452" s="8">
        <v>184</v>
      </c>
    </row>
    <row r="6453" s="3" customFormat="1" ht="18.75" spans="1:5">
      <c r="A6453" s="8" t="str">
        <f t="shared" si="112"/>
        <v>250028</v>
      </c>
      <c r="B6453" s="8" t="str">
        <f>"2561407012107"</f>
        <v>2561407012107</v>
      </c>
      <c r="C6453" s="8" t="s">
        <v>13</v>
      </c>
      <c r="D6453" s="9">
        <v>0</v>
      </c>
      <c r="E6453" s="8">
        <v>184</v>
      </c>
    </row>
    <row r="6454" s="3" customFormat="1" ht="18.75" spans="1:5">
      <c r="A6454" s="8" t="str">
        <f t="shared" si="112"/>
        <v>250028</v>
      </c>
      <c r="B6454" s="8" t="str">
        <f>"2561407012109"</f>
        <v>2561407012109</v>
      </c>
      <c r="C6454" s="8" t="s">
        <v>13</v>
      </c>
      <c r="D6454" s="9">
        <v>0</v>
      </c>
      <c r="E6454" s="8">
        <v>184</v>
      </c>
    </row>
    <row r="6455" s="3" customFormat="1" ht="18.75" spans="1:5">
      <c r="A6455" s="8" t="str">
        <f t="shared" si="112"/>
        <v>250028</v>
      </c>
      <c r="B6455" s="8" t="str">
        <f>"2561407012113"</f>
        <v>2561407012113</v>
      </c>
      <c r="C6455" s="8" t="s">
        <v>13</v>
      </c>
      <c r="D6455" s="9">
        <v>0</v>
      </c>
      <c r="E6455" s="8">
        <v>184</v>
      </c>
    </row>
    <row r="6456" s="3" customFormat="1" ht="18.75" spans="1:5">
      <c r="A6456" s="8" t="str">
        <f t="shared" si="112"/>
        <v>250028</v>
      </c>
      <c r="B6456" s="8" t="str">
        <f>"2561407012116"</f>
        <v>2561407012116</v>
      </c>
      <c r="C6456" s="8" t="s">
        <v>13</v>
      </c>
      <c r="D6456" s="9">
        <v>0</v>
      </c>
      <c r="E6456" s="8">
        <v>184</v>
      </c>
    </row>
    <row r="6457" s="3" customFormat="1" ht="18.75" spans="1:5">
      <c r="A6457" s="8" t="str">
        <f t="shared" si="112"/>
        <v>250028</v>
      </c>
      <c r="B6457" s="8" t="str">
        <f>"2561407012118"</f>
        <v>2561407012118</v>
      </c>
      <c r="C6457" s="8" t="s">
        <v>13</v>
      </c>
      <c r="D6457" s="9">
        <v>0</v>
      </c>
      <c r="E6457" s="8">
        <v>184</v>
      </c>
    </row>
    <row r="6458" s="3" customFormat="1" ht="18.75" spans="1:5">
      <c r="A6458" s="8" t="str">
        <f t="shared" si="112"/>
        <v>250028</v>
      </c>
      <c r="B6458" s="8" t="str">
        <f>"2561407012119"</f>
        <v>2561407012119</v>
      </c>
      <c r="C6458" s="8" t="s">
        <v>13</v>
      </c>
      <c r="D6458" s="9">
        <v>0</v>
      </c>
      <c r="E6458" s="8">
        <v>184</v>
      </c>
    </row>
    <row r="6459" s="3" customFormat="1" ht="18.75" spans="1:5">
      <c r="A6459" s="8" t="str">
        <f t="shared" si="112"/>
        <v>250028</v>
      </c>
      <c r="B6459" s="8" t="str">
        <f>"2561407012120"</f>
        <v>2561407012120</v>
      </c>
      <c r="C6459" s="8" t="s">
        <v>13</v>
      </c>
      <c r="D6459" s="9">
        <v>0</v>
      </c>
      <c r="E6459" s="8">
        <v>184</v>
      </c>
    </row>
    <row r="6460" s="3" customFormat="1" ht="18.75" spans="1:5">
      <c r="A6460" s="8" t="str">
        <f t="shared" si="112"/>
        <v>250028</v>
      </c>
      <c r="B6460" s="8" t="str">
        <f>"2561407012123"</f>
        <v>2561407012123</v>
      </c>
      <c r="C6460" s="8" t="s">
        <v>13</v>
      </c>
      <c r="D6460" s="9">
        <v>0</v>
      </c>
      <c r="E6460" s="8">
        <v>184</v>
      </c>
    </row>
    <row r="6461" s="3" customFormat="1" ht="18.75" spans="1:5">
      <c r="A6461" s="8" t="str">
        <f t="shared" si="112"/>
        <v>250028</v>
      </c>
      <c r="B6461" s="8" t="str">
        <f>"2561407012124"</f>
        <v>2561407012124</v>
      </c>
      <c r="C6461" s="8" t="s">
        <v>13</v>
      </c>
      <c r="D6461" s="9">
        <v>0</v>
      </c>
      <c r="E6461" s="8">
        <v>184</v>
      </c>
    </row>
    <row r="6462" s="3" customFormat="1" ht="18.75" spans="1:5">
      <c r="A6462" s="8" t="str">
        <f t="shared" si="112"/>
        <v>250028</v>
      </c>
      <c r="B6462" s="8" t="str">
        <f>"2561407012128"</f>
        <v>2561407012128</v>
      </c>
      <c r="C6462" s="8" t="s">
        <v>13</v>
      </c>
      <c r="D6462" s="9">
        <v>0</v>
      </c>
      <c r="E6462" s="8">
        <v>184</v>
      </c>
    </row>
    <row r="6463" s="3" customFormat="1" ht="18.75" spans="1:5">
      <c r="A6463" s="8" t="str">
        <f t="shared" si="112"/>
        <v>250028</v>
      </c>
      <c r="B6463" s="8" t="str">
        <f>"2561407012129"</f>
        <v>2561407012129</v>
      </c>
      <c r="C6463" s="8" t="s">
        <v>13</v>
      </c>
      <c r="D6463" s="9">
        <v>0</v>
      </c>
      <c r="E6463" s="8">
        <v>184</v>
      </c>
    </row>
    <row r="6464" s="3" customFormat="1" ht="18.75" spans="1:5">
      <c r="A6464" s="8" t="str">
        <f t="shared" si="112"/>
        <v>250028</v>
      </c>
      <c r="B6464" s="8" t="str">
        <f>"2561407012130"</f>
        <v>2561407012130</v>
      </c>
      <c r="C6464" s="8" t="s">
        <v>13</v>
      </c>
      <c r="D6464" s="9">
        <v>0</v>
      </c>
      <c r="E6464" s="8">
        <v>184</v>
      </c>
    </row>
    <row r="6465" s="3" customFormat="1" ht="18.75" spans="1:5">
      <c r="A6465" s="8" t="str">
        <f t="shared" si="112"/>
        <v>250028</v>
      </c>
      <c r="B6465" s="8" t="str">
        <f>"2561407012204"</f>
        <v>2561407012204</v>
      </c>
      <c r="C6465" s="8" t="s">
        <v>13</v>
      </c>
      <c r="D6465" s="9">
        <v>0</v>
      </c>
      <c r="E6465" s="8">
        <v>184</v>
      </c>
    </row>
    <row r="6466" s="3" customFormat="1" ht="18.75" spans="1:5">
      <c r="A6466" s="8" t="str">
        <f t="shared" ref="A6466:A6488" si="113">"250028"</f>
        <v>250028</v>
      </c>
      <c r="B6466" s="8" t="str">
        <f>"2561407012208"</f>
        <v>2561407012208</v>
      </c>
      <c r="C6466" s="8" t="s">
        <v>13</v>
      </c>
      <c r="D6466" s="9">
        <v>0</v>
      </c>
      <c r="E6466" s="8">
        <v>184</v>
      </c>
    </row>
    <row r="6467" s="3" customFormat="1" ht="18.75" spans="1:5">
      <c r="A6467" s="8" t="str">
        <f t="shared" si="113"/>
        <v>250028</v>
      </c>
      <c r="B6467" s="8" t="str">
        <f>"2561407012210"</f>
        <v>2561407012210</v>
      </c>
      <c r="C6467" s="8" t="s">
        <v>13</v>
      </c>
      <c r="D6467" s="9">
        <v>0</v>
      </c>
      <c r="E6467" s="8">
        <v>184</v>
      </c>
    </row>
    <row r="6468" s="3" customFormat="1" ht="18.75" spans="1:5">
      <c r="A6468" s="8" t="str">
        <f t="shared" si="113"/>
        <v>250028</v>
      </c>
      <c r="B6468" s="8" t="str">
        <f>"2561407012213"</f>
        <v>2561407012213</v>
      </c>
      <c r="C6468" s="8" t="s">
        <v>13</v>
      </c>
      <c r="D6468" s="9">
        <v>0</v>
      </c>
      <c r="E6468" s="8">
        <v>184</v>
      </c>
    </row>
    <row r="6469" s="3" customFormat="1" ht="18.75" spans="1:5">
      <c r="A6469" s="8" t="str">
        <f t="shared" si="113"/>
        <v>250028</v>
      </c>
      <c r="B6469" s="8" t="str">
        <f>"2561407012215"</f>
        <v>2561407012215</v>
      </c>
      <c r="C6469" s="8" t="s">
        <v>13</v>
      </c>
      <c r="D6469" s="9">
        <v>0</v>
      </c>
      <c r="E6469" s="8">
        <v>184</v>
      </c>
    </row>
    <row r="6470" s="3" customFormat="1" ht="18.75" spans="1:5">
      <c r="A6470" s="8" t="str">
        <f t="shared" si="113"/>
        <v>250028</v>
      </c>
      <c r="B6470" s="8" t="str">
        <f>"2561407012216"</f>
        <v>2561407012216</v>
      </c>
      <c r="C6470" s="8" t="s">
        <v>13</v>
      </c>
      <c r="D6470" s="9">
        <v>0</v>
      </c>
      <c r="E6470" s="8">
        <v>184</v>
      </c>
    </row>
    <row r="6471" s="3" customFormat="1" ht="18.75" spans="1:5">
      <c r="A6471" s="8" t="str">
        <f t="shared" si="113"/>
        <v>250028</v>
      </c>
      <c r="B6471" s="8" t="str">
        <f>"2561407012218"</f>
        <v>2561407012218</v>
      </c>
      <c r="C6471" s="8" t="s">
        <v>13</v>
      </c>
      <c r="D6471" s="9">
        <v>0</v>
      </c>
      <c r="E6471" s="8">
        <v>184</v>
      </c>
    </row>
    <row r="6472" s="3" customFormat="1" ht="18.75" spans="1:5">
      <c r="A6472" s="8" t="str">
        <f t="shared" si="113"/>
        <v>250028</v>
      </c>
      <c r="B6472" s="8" t="str">
        <f>"2561407012220"</f>
        <v>2561407012220</v>
      </c>
      <c r="C6472" s="8" t="s">
        <v>13</v>
      </c>
      <c r="D6472" s="9">
        <v>0</v>
      </c>
      <c r="E6472" s="8">
        <v>184</v>
      </c>
    </row>
    <row r="6473" s="3" customFormat="1" ht="18.75" spans="1:5">
      <c r="A6473" s="8" t="str">
        <f t="shared" si="113"/>
        <v>250028</v>
      </c>
      <c r="B6473" s="8" t="str">
        <f>"2561407012221"</f>
        <v>2561407012221</v>
      </c>
      <c r="C6473" s="8" t="s">
        <v>13</v>
      </c>
      <c r="D6473" s="9">
        <v>0</v>
      </c>
      <c r="E6473" s="8">
        <v>184</v>
      </c>
    </row>
    <row r="6474" s="3" customFormat="1" ht="18.75" spans="1:5">
      <c r="A6474" s="8" t="str">
        <f t="shared" si="113"/>
        <v>250028</v>
      </c>
      <c r="B6474" s="8" t="str">
        <f>"2561407012222"</f>
        <v>2561407012222</v>
      </c>
      <c r="C6474" s="8" t="s">
        <v>13</v>
      </c>
      <c r="D6474" s="9">
        <v>0</v>
      </c>
      <c r="E6474" s="8">
        <v>184</v>
      </c>
    </row>
    <row r="6475" s="3" customFormat="1" ht="18.75" spans="1:5">
      <c r="A6475" s="8" t="str">
        <f t="shared" si="113"/>
        <v>250028</v>
      </c>
      <c r="B6475" s="8" t="str">
        <f>"2561407012229"</f>
        <v>2561407012229</v>
      </c>
      <c r="C6475" s="8" t="s">
        <v>13</v>
      </c>
      <c r="D6475" s="9">
        <v>0</v>
      </c>
      <c r="E6475" s="8">
        <v>184</v>
      </c>
    </row>
    <row r="6476" s="3" customFormat="1" ht="18.75" spans="1:5">
      <c r="A6476" s="8" t="str">
        <f t="shared" si="113"/>
        <v>250028</v>
      </c>
      <c r="B6476" s="8" t="str">
        <f>"2561407012230"</f>
        <v>2561407012230</v>
      </c>
      <c r="C6476" s="8" t="s">
        <v>13</v>
      </c>
      <c r="D6476" s="9">
        <v>0</v>
      </c>
      <c r="E6476" s="8">
        <v>184</v>
      </c>
    </row>
    <row r="6477" s="3" customFormat="1" ht="18.75" spans="1:5">
      <c r="A6477" s="8" t="str">
        <f t="shared" si="113"/>
        <v>250028</v>
      </c>
      <c r="B6477" s="8" t="str">
        <f>"2561407012303"</f>
        <v>2561407012303</v>
      </c>
      <c r="C6477" s="8" t="s">
        <v>13</v>
      </c>
      <c r="D6477" s="9">
        <v>0</v>
      </c>
      <c r="E6477" s="8">
        <v>184</v>
      </c>
    </row>
    <row r="6478" s="3" customFormat="1" ht="18.75" spans="1:5">
      <c r="A6478" s="8" t="str">
        <f t="shared" si="113"/>
        <v>250028</v>
      </c>
      <c r="B6478" s="8" t="str">
        <f>"2561407012305"</f>
        <v>2561407012305</v>
      </c>
      <c r="C6478" s="8" t="s">
        <v>13</v>
      </c>
      <c r="D6478" s="9">
        <v>0</v>
      </c>
      <c r="E6478" s="8">
        <v>184</v>
      </c>
    </row>
    <row r="6479" s="3" customFormat="1" ht="18.75" spans="1:5">
      <c r="A6479" s="8" t="str">
        <f t="shared" si="113"/>
        <v>250028</v>
      </c>
      <c r="B6479" s="8" t="str">
        <f>"2561407012306"</f>
        <v>2561407012306</v>
      </c>
      <c r="C6479" s="8" t="s">
        <v>13</v>
      </c>
      <c r="D6479" s="9">
        <v>0</v>
      </c>
      <c r="E6479" s="8">
        <v>184</v>
      </c>
    </row>
    <row r="6480" s="3" customFormat="1" ht="18.75" spans="1:5">
      <c r="A6480" s="8" t="str">
        <f t="shared" si="113"/>
        <v>250028</v>
      </c>
      <c r="B6480" s="8" t="str">
        <f>"2561407012307"</f>
        <v>2561407012307</v>
      </c>
      <c r="C6480" s="8" t="s">
        <v>13</v>
      </c>
      <c r="D6480" s="9">
        <v>0</v>
      </c>
      <c r="E6480" s="8">
        <v>184</v>
      </c>
    </row>
    <row r="6481" s="3" customFormat="1" ht="18.75" spans="1:5">
      <c r="A6481" s="8" t="str">
        <f t="shared" si="113"/>
        <v>250028</v>
      </c>
      <c r="B6481" s="8" t="str">
        <f>"2561407012308"</f>
        <v>2561407012308</v>
      </c>
      <c r="C6481" s="8" t="s">
        <v>13</v>
      </c>
      <c r="D6481" s="9">
        <v>0</v>
      </c>
      <c r="E6481" s="8">
        <v>184</v>
      </c>
    </row>
    <row r="6482" s="3" customFormat="1" ht="18.75" spans="1:5">
      <c r="A6482" s="8" t="str">
        <f t="shared" si="113"/>
        <v>250028</v>
      </c>
      <c r="B6482" s="8" t="str">
        <f>"2561407012310"</f>
        <v>2561407012310</v>
      </c>
      <c r="C6482" s="8" t="s">
        <v>13</v>
      </c>
      <c r="D6482" s="9">
        <v>0</v>
      </c>
      <c r="E6482" s="8">
        <v>184</v>
      </c>
    </row>
    <row r="6483" s="3" customFormat="1" ht="18.75" spans="1:5">
      <c r="A6483" s="8" t="str">
        <f t="shared" si="113"/>
        <v>250028</v>
      </c>
      <c r="B6483" s="8" t="str">
        <f>"2561407012311"</f>
        <v>2561407012311</v>
      </c>
      <c r="C6483" s="8" t="s">
        <v>13</v>
      </c>
      <c r="D6483" s="9">
        <v>0</v>
      </c>
      <c r="E6483" s="8">
        <v>184</v>
      </c>
    </row>
    <row r="6484" s="3" customFormat="1" ht="18.75" spans="1:5">
      <c r="A6484" s="8" t="str">
        <f t="shared" si="113"/>
        <v>250028</v>
      </c>
      <c r="B6484" s="8" t="str">
        <f>"2561407012312"</f>
        <v>2561407012312</v>
      </c>
      <c r="C6484" s="8" t="s">
        <v>13</v>
      </c>
      <c r="D6484" s="9">
        <v>0</v>
      </c>
      <c r="E6484" s="8">
        <v>184</v>
      </c>
    </row>
    <row r="6485" s="3" customFormat="1" ht="18.75" spans="1:5">
      <c r="A6485" s="8" t="str">
        <f t="shared" si="113"/>
        <v>250028</v>
      </c>
      <c r="B6485" s="8" t="str">
        <f>"2561407012315"</f>
        <v>2561407012315</v>
      </c>
      <c r="C6485" s="8" t="s">
        <v>13</v>
      </c>
      <c r="D6485" s="9">
        <v>0</v>
      </c>
      <c r="E6485" s="8">
        <v>184</v>
      </c>
    </row>
    <row r="6486" s="3" customFormat="1" ht="18.75" spans="1:5">
      <c r="A6486" s="8" t="str">
        <f t="shared" si="113"/>
        <v>250028</v>
      </c>
      <c r="B6486" s="8" t="str">
        <f>"2561407012316"</f>
        <v>2561407012316</v>
      </c>
      <c r="C6486" s="8" t="s">
        <v>13</v>
      </c>
      <c r="D6486" s="9">
        <v>0</v>
      </c>
      <c r="E6486" s="8">
        <v>184</v>
      </c>
    </row>
    <row r="6487" s="3" customFormat="1" ht="18.75" spans="1:5">
      <c r="A6487" s="8" t="str">
        <f t="shared" si="113"/>
        <v>250028</v>
      </c>
      <c r="B6487" s="8" t="str">
        <f>"2561407012319"</f>
        <v>2561407012319</v>
      </c>
      <c r="C6487" s="8" t="s">
        <v>13</v>
      </c>
      <c r="D6487" s="9">
        <v>0</v>
      </c>
      <c r="E6487" s="8">
        <v>184</v>
      </c>
    </row>
    <row r="6488" s="3" customFormat="1" ht="18.75" spans="1:5">
      <c r="A6488" s="8" t="str">
        <f t="shared" si="113"/>
        <v>250028</v>
      </c>
      <c r="B6488" s="8" t="str">
        <f>"2561407012320"</f>
        <v>2561407012320</v>
      </c>
      <c r="C6488" s="8" t="s">
        <v>13</v>
      </c>
      <c r="D6488" s="9">
        <v>0</v>
      </c>
      <c r="E6488" s="8">
        <v>184</v>
      </c>
    </row>
    <row r="6489" s="3" customFormat="1" ht="18.75" spans="1:5">
      <c r="A6489" s="8" t="str">
        <f t="shared" ref="A6489:A6552" si="114">"250029"</f>
        <v>250029</v>
      </c>
      <c r="B6489" s="8" t="str">
        <f>"2561407012601"</f>
        <v>2561407012601</v>
      </c>
      <c r="C6489" s="8" t="s">
        <v>13</v>
      </c>
      <c r="D6489" s="9">
        <v>68.33</v>
      </c>
      <c r="E6489" s="8">
        <v>1</v>
      </c>
    </row>
    <row r="6490" s="3" customFormat="1" ht="18.75" spans="1:5">
      <c r="A6490" s="8" t="str">
        <f t="shared" si="114"/>
        <v>250029</v>
      </c>
      <c r="B6490" s="8" t="str">
        <f>"2561407012418"</f>
        <v>2561407012418</v>
      </c>
      <c r="C6490" s="8" t="s">
        <v>13</v>
      </c>
      <c r="D6490" s="9">
        <v>66.99</v>
      </c>
      <c r="E6490" s="8">
        <v>2</v>
      </c>
    </row>
    <row r="6491" s="3" customFormat="1" ht="18.75" spans="1:5">
      <c r="A6491" s="8" t="str">
        <f t="shared" si="114"/>
        <v>250029</v>
      </c>
      <c r="B6491" s="8" t="str">
        <f>"2561407012529"</f>
        <v>2561407012529</v>
      </c>
      <c r="C6491" s="8" t="s">
        <v>13</v>
      </c>
      <c r="D6491" s="9">
        <v>65.88</v>
      </c>
      <c r="E6491" s="8">
        <v>3</v>
      </c>
    </row>
    <row r="6492" s="3" customFormat="1" ht="18.75" spans="1:5">
      <c r="A6492" s="8" t="str">
        <f t="shared" si="114"/>
        <v>250029</v>
      </c>
      <c r="B6492" s="8" t="str">
        <f>"2561407012824"</f>
        <v>2561407012824</v>
      </c>
      <c r="C6492" s="8" t="s">
        <v>13</v>
      </c>
      <c r="D6492" s="9">
        <v>65.69</v>
      </c>
      <c r="E6492" s="8">
        <v>4</v>
      </c>
    </row>
    <row r="6493" s="3" customFormat="1" ht="18.75" spans="1:5">
      <c r="A6493" s="8" t="str">
        <f t="shared" si="114"/>
        <v>250029</v>
      </c>
      <c r="B6493" s="8" t="str">
        <f>"2561407013002"</f>
        <v>2561407013002</v>
      </c>
      <c r="C6493" s="8" t="s">
        <v>13</v>
      </c>
      <c r="D6493" s="9">
        <v>65.28</v>
      </c>
      <c r="E6493" s="8">
        <v>5</v>
      </c>
    </row>
    <row r="6494" s="3" customFormat="1" ht="18.75" spans="1:5">
      <c r="A6494" s="8" t="str">
        <f t="shared" si="114"/>
        <v>250029</v>
      </c>
      <c r="B6494" s="8" t="str">
        <f>"2561407012925"</f>
        <v>2561407012925</v>
      </c>
      <c r="C6494" s="8" t="s">
        <v>13</v>
      </c>
      <c r="D6494" s="9">
        <v>64.98</v>
      </c>
      <c r="E6494" s="8">
        <v>6</v>
      </c>
    </row>
    <row r="6495" s="3" customFormat="1" ht="18.75" spans="1:5">
      <c r="A6495" s="8" t="str">
        <f t="shared" si="114"/>
        <v>250029</v>
      </c>
      <c r="B6495" s="8" t="str">
        <f>"2561407012521"</f>
        <v>2561407012521</v>
      </c>
      <c r="C6495" s="8" t="s">
        <v>13</v>
      </c>
      <c r="D6495" s="9">
        <v>64.4</v>
      </c>
      <c r="E6495" s="8">
        <v>7</v>
      </c>
    </row>
    <row r="6496" s="3" customFormat="1" ht="18.75" spans="1:5">
      <c r="A6496" s="8" t="str">
        <f t="shared" si="114"/>
        <v>250029</v>
      </c>
      <c r="B6496" s="8" t="str">
        <f>"2561407012509"</f>
        <v>2561407012509</v>
      </c>
      <c r="C6496" s="8" t="s">
        <v>13</v>
      </c>
      <c r="D6496" s="9">
        <v>63.72</v>
      </c>
      <c r="E6496" s="8">
        <v>8</v>
      </c>
    </row>
    <row r="6497" s="3" customFormat="1" ht="18.75" spans="1:5">
      <c r="A6497" s="8" t="str">
        <f t="shared" si="114"/>
        <v>250029</v>
      </c>
      <c r="B6497" s="8" t="str">
        <f>"2561407012819"</f>
        <v>2561407012819</v>
      </c>
      <c r="C6497" s="8" t="s">
        <v>13</v>
      </c>
      <c r="D6497" s="9">
        <v>63.37</v>
      </c>
      <c r="E6497" s="8">
        <v>9</v>
      </c>
    </row>
    <row r="6498" s="3" customFormat="1" ht="18.75" spans="1:5">
      <c r="A6498" s="8" t="str">
        <f t="shared" si="114"/>
        <v>250029</v>
      </c>
      <c r="B6498" s="8" t="str">
        <f>"2561407012507"</f>
        <v>2561407012507</v>
      </c>
      <c r="C6498" s="8" t="s">
        <v>13</v>
      </c>
      <c r="D6498" s="9">
        <v>63.36</v>
      </c>
      <c r="E6498" s="8">
        <v>10</v>
      </c>
    </row>
    <row r="6499" s="3" customFormat="1" ht="18.75" spans="1:5">
      <c r="A6499" s="8" t="str">
        <f t="shared" si="114"/>
        <v>250029</v>
      </c>
      <c r="B6499" s="8" t="str">
        <f>"2561407012525"</f>
        <v>2561407012525</v>
      </c>
      <c r="C6499" s="8" t="s">
        <v>13</v>
      </c>
      <c r="D6499" s="9">
        <v>62.99</v>
      </c>
      <c r="E6499" s="8">
        <v>11</v>
      </c>
    </row>
    <row r="6500" s="3" customFormat="1" ht="18.75" spans="1:5">
      <c r="A6500" s="8" t="str">
        <f t="shared" si="114"/>
        <v>250029</v>
      </c>
      <c r="B6500" s="8" t="str">
        <f>"2561407012430"</f>
        <v>2561407012430</v>
      </c>
      <c r="C6500" s="8" t="s">
        <v>13</v>
      </c>
      <c r="D6500" s="9">
        <v>61.45</v>
      </c>
      <c r="E6500" s="8">
        <v>12</v>
      </c>
    </row>
    <row r="6501" s="3" customFormat="1" ht="18.75" spans="1:5">
      <c r="A6501" s="8" t="str">
        <f t="shared" si="114"/>
        <v>250029</v>
      </c>
      <c r="B6501" s="8" t="str">
        <f>"2561407012409"</f>
        <v>2561407012409</v>
      </c>
      <c r="C6501" s="8" t="s">
        <v>13</v>
      </c>
      <c r="D6501" s="9">
        <v>61.35</v>
      </c>
      <c r="E6501" s="8">
        <v>13</v>
      </c>
    </row>
    <row r="6502" s="3" customFormat="1" ht="18.75" spans="1:5">
      <c r="A6502" s="8" t="str">
        <f t="shared" si="114"/>
        <v>250029</v>
      </c>
      <c r="B6502" s="8" t="str">
        <f>"2561407012708"</f>
        <v>2561407012708</v>
      </c>
      <c r="C6502" s="8" t="s">
        <v>13</v>
      </c>
      <c r="D6502" s="9">
        <v>61.03</v>
      </c>
      <c r="E6502" s="8">
        <v>14</v>
      </c>
    </row>
    <row r="6503" s="3" customFormat="1" ht="18.75" spans="1:5">
      <c r="A6503" s="8" t="str">
        <f t="shared" si="114"/>
        <v>250029</v>
      </c>
      <c r="B6503" s="8" t="str">
        <f>"2561407012810"</f>
        <v>2561407012810</v>
      </c>
      <c r="C6503" s="8" t="s">
        <v>13</v>
      </c>
      <c r="D6503" s="9">
        <v>60.87</v>
      </c>
      <c r="E6503" s="8">
        <v>15</v>
      </c>
    </row>
    <row r="6504" s="3" customFormat="1" ht="18.75" spans="1:5">
      <c r="A6504" s="8" t="str">
        <f t="shared" si="114"/>
        <v>250029</v>
      </c>
      <c r="B6504" s="8" t="str">
        <f>"2561407012508"</f>
        <v>2561407012508</v>
      </c>
      <c r="C6504" s="8" t="s">
        <v>13</v>
      </c>
      <c r="D6504" s="9">
        <v>60.72</v>
      </c>
      <c r="E6504" s="8">
        <v>16</v>
      </c>
    </row>
    <row r="6505" s="3" customFormat="1" ht="18.75" spans="1:5">
      <c r="A6505" s="8" t="str">
        <f t="shared" si="114"/>
        <v>250029</v>
      </c>
      <c r="B6505" s="8" t="str">
        <f>"2561407012802"</f>
        <v>2561407012802</v>
      </c>
      <c r="C6505" s="8" t="s">
        <v>13</v>
      </c>
      <c r="D6505" s="9">
        <v>60.65</v>
      </c>
      <c r="E6505" s="8">
        <v>17</v>
      </c>
    </row>
    <row r="6506" s="3" customFormat="1" ht="18.75" spans="1:5">
      <c r="A6506" s="8" t="str">
        <f t="shared" si="114"/>
        <v>250029</v>
      </c>
      <c r="B6506" s="8" t="str">
        <f>"2561407012912"</f>
        <v>2561407012912</v>
      </c>
      <c r="C6506" s="8" t="s">
        <v>13</v>
      </c>
      <c r="D6506" s="9">
        <v>60.5</v>
      </c>
      <c r="E6506" s="8">
        <v>18</v>
      </c>
    </row>
    <row r="6507" s="3" customFormat="1" ht="18.75" spans="1:5">
      <c r="A6507" s="8" t="str">
        <f t="shared" si="114"/>
        <v>250029</v>
      </c>
      <c r="B6507" s="8" t="str">
        <f>"2561407012814"</f>
        <v>2561407012814</v>
      </c>
      <c r="C6507" s="8" t="s">
        <v>13</v>
      </c>
      <c r="D6507" s="9">
        <v>60.44</v>
      </c>
      <c r="E6507" s="8">
        <v>19</v>
      </c>
    </row>
    <row r="6508" s="3" customFormat="1" ht="18.75" spans="1:5">
      <c r="A6508" s="8" t="str">
        <f t="shared" si="114"/>
        <v>250029</v>
      </c>
      <c r="B6508" s="8" t="str">
        <f>"2561407012517"</f>
        <v>2561407012517</v>
      </c>
      <c r="C6508" s="8" t="s">
        <v>13</v>
      </c>
      <c r="D6508" s="9">
        <v>60.35</v>
      </c>
      <c r="E6508" s="8">
        <v>20</v>
      </c>
    </row>
    <row r="6509" s="3" customFormat="1" ht="18.75" spans="1:5">
      <c r="A6509" s="8" t="str">
        <f t="shared" si="114"/>
        <v>250029</v>
      </c>
      <c r="B6509" s="8" t="str">
        <f>"2561407012520"</f>
        <v>2561407012520</v>
      </c>
      <c r="C6509" s="8" t="s">
        <v>13</v>
      </c>
      <c r="D6509" s="9">
        <v>60.22</v>
      </c>
      <c r="E6509" s="8">
        <v>21</v>
      </c>
    </row>
    <row r="6510" s="3" customFormat="1" ht="18.75" spans="1:5">
      <c r="A6510" s="8" t="str">
        <f t="shared" si="114"/>
        <v>250029</v>
      </c>
      <c r="B6510" s="8" t="str">
        <f>"2561407012609"</f>
        <v>2561407012609</v>
      </c>
      <c r="C6510" s="8" t="s">
        <v>13</v>
      </c>
      <c r="D6510" s="9">
        <v>60.14</v>
      </c>
      <c r="E6510" s="8">
        <v>22</v>
      </c>
    </row>
    <row r="6511" s="3" customFormat="1" ht="18.75" spans="1:5">
      <c r="A6511" s="8" t="str">
        <f t="shared" si="114"/>
        <v>250029</v>
      </c>
      <c r="B6511" s="8" t="str">
        <f>"2561407012505"</f>
        <v>2561407012505</v>
      </c>
      <c r="C6511" s="8" t="s">
        <v>13</v>
      </c>
      <c r="D6511" s="9">
        <v>60.1</v>
      </c>
      <c r="E6511" s="8">
        <v>23</v>
      </c>
    </row>
    <row r="6512" s="3" customFormat="1" ht="18.75" spans="1:5">
      <c r="A6512" s="8" t="str">
        <f t="shared" si="114"/>
        <v>250029</v>
      </c>
      <c r="B6512" s="8" t="str">
        <f>"2561407012510"</f>
        <v>2561407012510</v>
      </c>
      <c r="C6512" s="8" t="s">
        <v>13</v>
      </c>
      <c r="D6512" s="9">
        <v>59.92</v>
      </c>
      <c r="E6512" s="8">
        <v>24</v>
      </c>
    </row>
    <row r="6513" s="3" customFormat="1" ht="18.75" spans="1:5">
      <c r="A6513" s="8" t="str">
        <f t="shared" si="114"/>
        <v>250029</v>
      </c>
      <c r="B6513" s="8" t="str">
        <f>"2561407012822"</f>
        <v>2561407012822</v>
      </c>
      <c r="C6513" s="8" t="s">
        <v>13</v>
      </c>
      <c r="D6513" s="9">
        <v>59.57</v>
      </c>
      <c r="E6513" s="8">
        <v>25</v>
      </c>
    </row>
    <row r="6514" s="3" customFormat="1" ht="18.75" spans="1:5">
      <c r="A6514" s="8" t="str">
        <f t="shared" si="114"/>
        <v>250029</v>
      </c>
      <c r="B6514" s="8" t="str">
        <f>"2561407013013"</f>
        <v>2561407013013</v>
      </c>
      <c r="C6514" s="8" t="s">
        <v>13</v>
      </c>
      <c r="D6514" s="9">
        <v>59.54</v>
      </c>
      <c r="E6514" s="8">
        <v>26</v>
      </c>
    </row>
    <row r="6515" s="3" customFormat="1" ht="18.75" spans="1:5">
      <c r="A6515" s="8" t="str">
        <f t="shared" si="114"/>
        <v>250029</v>
      </c>
      <c r="B6515" s="8" t="str">
        <f>"2561407012815"</f>
        <v>2561407012815</v>
      </c>
      <c r="C6515" s="8" t="s">
        <v>13</v>
      </c>
      <c r="D6515" s="9">
        <v>59.47</v>
      </c>
      <c r="E6515" s="8">
        <v>27</v>
      </c>
    </row>
    <row r="6516" s="3" customFormat="1" ht="18.75" spans="1:5">
      <c r="A6516" s="8" t="str">
        <f t="shared" si="114"/>
        <v>250029</v>
      </c>
      <c r="B6516" s="8" t="str">
        <f>"2561407012726"</f>
        <v>2561407012726</v>
      </c>
      <c r="C6516" s="8" t="s">
        <v>13</v>
      </c>
      <c r="D6516" s="9">
        <v>59.42</v>
      </c>
      <c r="E6516" s="8">
        <v>28</v>
      </c>
    </row>
    <row r="6517" s="3" customFormat="1" ht="18.75" spans="1:5">
      <c r="A6517" s="8" t="str">
        <f t="shared" si="114"/>
        <v>250029</v>
      </c>
      <c r="B6517" s="8" t="str">
        <f>"2561407012618"</f>
        <v>2561407012618</v>
      </c>
      <c r="C6517" s="8" t="s">
        <v>13</v>
      </c>
      <c r="D6517" s="9">
        <v>58.62</v>
      </c>
      <c r="E6517" s="8">
        <v>29</v>
      </c>
    </row>
    <row r="6518" s="3" customFormat="1" ht="18.75" spans="1:5">
      <c r="A6518" s="8" t="str">
        <f t="shared" si="114"/>
        <v>250029</v>
      </c>
      <c r="B6518" s="8" t="str">
        <f>"2561407012722"</f>
        <v>2561407012722</v>
      </c>
      <c r="C6518" s="8" t="s">
        <v>13</v>
      </c>
      <c r="D6518" s="9">
        <v>58.48</v>
      </c>
      <c r="E6518" s="8">
        <v>30</v>
      </c>
    </row>
    <row r="6519" s="3" customFormat="1" ht="18.75" spans="1:5">
      <c r="A6519" s="8" t="str">
        <f t="shared" si="114"/>
        <v>250029</v>
      </c>
      <c r="B6519" s="8" t="str">
        <f>"2561407012919"</f>
        <v>2561407012919</v>
      </c>
      <c r="C6519" s="8" t="s">
        <v>13</v>
      </c>
      <c r="D6519" s="9">
        <v>58.36</v>
      </c>
      <c r="E6519" s="8">
        <v>31</v>
      </c>
    </row>
    <row r="6520" s="3" customFormat="1" ht="18.75" spans="1:5">
      <c r="A6520" s="8" t="str">
        <f t="shared" si="114"/>
        <v>250029</v>
      </c>
      <c r="B6520" s="8" t="str">
        <f>"2561407012818"</f>
        <v>2561407012818</v>
      </c>
      <c r="C6520" s="8" t="s">
        <v>13</v>
      </c>
      <c r="D6520" s="9">
        <v>58.34</v>
      </c>
      <c r="E6520" s="8">
        <v>32</v>
      </c>
    </row>
    <row r="6521" s="3" customFormat="1" ht="18.75" spans="1:5">
      <c r="A6521" s="8" t="str">
        <f t="shared" si="114"/>
        <v>250029</v>
      </c>
      <c r="B6521" s="8" t="str">
        <f>"2561407013014"</f>
        <v>2561407013014</v>
      </c>
      <c r="C6521" s="8" t="s">
        <v>13</v>
      </c>
      <c r="D6521" s="9">
        <v>58.29</v>
      </c>
      <c r="E6521" s="8">
        <v>33</v>
      </c>
    </row>
    <row r="6522" s="3" customFormat="1" ht="18.75" spans="1:5">
      <c r="A6522" s="8" t="str">
        <f t="shared" si="114"/>
        <v>250029</v>
      </c>
      <c r="B6522" s="8" t="str">
        <f>"2561407012721"</f>
        <v>2561407012721</v>
      </c>
      <c r="C6522" s="8" t="s">
        <v>13</v>
      </c>
      <c r="D6522" s="9">
        <v>57.97</v>
      </c>
      <c r="E6522" s="8">
        <v>34</v>
      </c>
    </row>
    <row r="6523" s="3" customFormat="1" ht="18.75" spans="1:5">
      <c r="A6523" s="8" t="str">
        <f t="shared" si="114"/>
        <v>250029</v>
      </c>
      <c r="B6523" s="8" t="str">
        <f>"2561407012512"</f>
        <v>2561407012512</v>
      </c>
      <c r="C6523" s="8" t="s">
        <v>13</v>
      </c>
      <c r="D6523" s="9">
        <v>57.84</v>
      </c>
      <c r="E6523" s="8">
        <v>35</v>
      </c>
    </row>
    <row r="6524" s="3" customFormat="1" ht="18.75" spans="1:5">
      <c r="A6524" s="8" t="str">
        <f t="shared" si="114"/>
        <v>250029</v>
      </c>
      <c r="B6524" s="8" t="str">
        <f>"2561407012413"</f>
        <v>2561407012413</v>
      </c>
      <c r="C6524" s="8" t="s">
        <v>13</v>
      </c>
      <c r="D6524" s="9">
        <v>57.77</v>
      </c>
      <c r="E6524" s="8">
        <v>36</v>
      </c>
    </row>
    <row r="6525" s="3" customFormat="1" ht="18.75" spans="1:5">
      <c r="A6525" s="8" t="str">
        <f t="shared" si="114"/>
        <v>250029</v>
      </c>
      <c r="B6525" s="8" t="str">
        <f>"2561407012403"</f>
        <v>2561407012403</v>
      </c>
      <c r="C6525" s="8" t="s">
        <v>13</v>
      </c>
      <c r="D6525" s="9">
        <v>57.46</v>
      </c>
      <c r="E6525" s="8">
        <v>37</v>
      </c>
    </row>
    <row r="6526" s="3" customFormat="1" ht="18.75" spans="1:5">
      <c r="A6526" s="8" t="str">
        <f t="shared" si="114"/>
        <v>250029</v>
      </c>
      <c r="B6526" s="8" t="str">
        <f>"2561407012916"</f>
        <v>2561407012916</v>
      </c>
      <c r="C6526" s="8" t="s">
        <v>13</v>
      </c>
      <c r="D6526" s="9">
        <v>57.31</v>
      </c>
      <c r="E6526" s="8">
        <v>38</v>
      </c>
    </row>
    <row r="6527" s="3" customFormat="1" ht="18.75" spans="1:5">
      <c r="A6527" s="8" t="str">
        <f t="shared" si="114"/>
        <v>250029</v>
      </c>
      <c r="B6527" s="8" t="str">
        <f>"2561407013007"</f>
        <v>2561407013007</v>
      </c>
      <c r="C6527" s="8" t="s">
        <v>13</v>
      </c>
      <c r="D6527" s="9">
        <v>57.3</v>
      </c>
      <c r="E6527" s="8">
        <v>39</v>
      </c>
    </row>
    <row r="6528" s="3" customFormat="1" ht="18.75" spans="1:5">
      <c r="A6528" s="8" t="str">
        <f t="shared" si="114"/>
        <v>250029</v>
      </c>
      <c r="B6528" s="8" t="str">
        <f>"2561407012328"</f>
        <v>2561407012328</v>
      </c>
      <c r="C6528" s="8" t="s">
        <v>13</v>
      </c>
      <c r="D6528" s="9">
        <v>56.88</v>
      </c>
      <c r="E6528" s="8">
        <v>40</v>
      </c>
    </row>
    <row r="6529" s="3" customFormat="1" ht="18.75" spans="1:5">
      <c r="A6529" s="8" t="str">
        <f t="shared" si="114"/>
        <v>250029</v>
      </c>
      <c r="B6529" s="8" t="str">
        <f>"2561407012530"</f>
        <v>2561407012530</v>
      </c>
      <c r="C6529" s="8" t="s">
        <v>13</v>
      </c>
      <c r="D6529" s="9">
        <v>56.78</v>
      </c>
      <c r="E6529" s="8">
        <v>41</v>
      </c>
    </row>
    <row r="6530" s="3" customFormat="1" ht="18.75" spans="1:5">
      <c r="A6530" s="8" t="str">
        <f t="shared" si="114"/>
        <v>250029</v>
      </c>
      <c r="B6530" s="8" t="str">
        <f>"2561407012926"</f>
        <v>2561407012926</v>
      </c>
      <c r="C6530" s="8" t="s">
        <v>13</v>
      </c>
      <c r="D6530" s="9">
        <v>56.74</v>
      </c>
      <c r="E6530" s="8">
        <v>42</v>
      </c>
    </row>
    <row r="6531" s="3" customFormat="1" ht="18.75" spans="1:5">
      <c r="A6531" s="8" t="str">
        <f t="shared" si="114"/>
        <v>250029</v>
      </c>
      <c r="B6531" s="8" t="str">
        <f>"2561407012716"</f>
        <v>2561407012716</v>
      </c>
      <c r="C6531" s="8" t="s">
        <v>13</v>
      </c>
      <c r="D6531" s="9">
        <v>56.63</v>
      </c>
      <c r="E6531" s="8">
        <v>43</v>
      </c>
    </row>
    <row r="6532" s="3" customFormat="1" ht="18.75" spans="1:5">
      <c r="A6532" s="8" t="str">
        <f t="shared" si="114"/>
        <v>250029</v>
      </c>
      <c r="B6532" s="8" t="str">
        <f>"2561407012412"</f>
        <v>2561407012412</v>
      </c>
      <c r="C6532" s="8" t="s">
        <v>13</v>
      </c>
      <c r="D6532" s="9">
        <v>56.5</v>
      </c>
      <c r="E6532" s="8">
        <v>44</v>
      </c>
    </row>
    <row r="6533" s="3" customFormat="1" ht="18.75" spans="1:5">
      <c r="A6533" s="8" t="str">
        <f t="shared" si="114"/>
        <v>250029</v>
      </c>
      <c r="B6533" s="8" t="str">
        <f>"2561407012421"</f>
        <v>2561407012421</v>
      </c>
      <c r="C6533" s="8" t="s">
        <v>13</v>
      </c>
      <c r="D6533" s="9">
        <v>56.48</v>
      </c>
      <c r="E6533" s="8">
        <v>45</v>
      </c>
    </row>
    <row r="6534" s="3" customFormat="1" ht="18.75" spans="1:5">
      <c r="A6534" s="8" t="str">
        <f t="shared" si="114"/>
        <v>250029</v>
      </c>
      <c r="B6534" s="8" t="str">
        <f>"2561407012407"</f>
        <v>2561407012407</v>
      </c>
      <c r="C6534" s="8" t="s">
        <v>13</v>
      </c>
      <c r="D6534" s="9">
        <v>56.38</v>
      </c>
      <c r="E6534" s="8">
        <v>46</v>
      </c>
    </row>
    <row r="6535" s="3" customFormat="1" ht="18.75" spans="1:5">
      <c r="A6535" s="8" t="str">
        <f t="shared" si="114"/>
        <v>250029</v>
      </c>
      <c r="B6535" s="8" t="str">
        <f>"2561407012823"</f>
        <v>2561407012823</v>
      </c>
      <c r="C6535" s="8" t="s">
        <v>13</v>
      </c>
      <c r="D6535" s="9">
        <v>56.34</v>
      </c>
      <c r="E6535" s="8">
        <v>47</v>
      </c>
    </row>
    <row r="6536" s="3" customFormat="1" ht="18.75" spans="1:5">
      <c r="A6536" s="8" t="str">
        <f t="shared" si="114"/>
        <v>250029</v>
      </c>
      <c r="B6536" s="8" t="str">
        <f>"2561407012514"</f>
        <v>2561407012514</v>
      </c>
      <c r="C6536" s="8" t="s">
        <v>13</v>
      </c>
      <c r="D6536" s="9">
        <v>56.02</v>
      </c>
      <c r="E6536" s="8">
        <v>48</v>
      </c>
    </row>
    <row r="6537" s="3" customFormat="1" ht="18.75" spans="1:5">
      <c r="A6537" s="8" t="str">
        <f t="shared" si="114"/>
        <v>250029</v>
      </c>
      <c r="B6537" s="8" t="str">
        <f>"2561407012604"</f>
        <v>2561407012604</v>
      </c>
      <c r="C6537" s="8" t="s">
        <v>13</v>
      </c>
      <c r="D6537" s="9">
        <v>55.92</v>
      </c>
      <c r="E6537" s="8">
        <v>49</v>
      </c>
    </row>
    <row r="6538" s="3" customFormat="1" ht="18.75" spans="1:5">
      <c r="A6538" s="8" t="str">
        <f t="shared" si="114"/>
        <v>250029</v>
      </c>
      <c r="B6538" s="8" t="str">
        <f>"2561407012828"</f>
        <v>2561407012828</v>
      </c>
      <c r="C6538" s="8" t="s">
        <v>13</v>
      </c>
      <c r="D6538" s="9">
        <v>55.71</v>
      </c>
      <c r="E6538" s="8">
        <v>50</v>
      </c>
    </row>
    <row r="6539" s="3" customFormat="1" ht="18.75" spans="1:5">
      <c r="A6539" s="8" t="str">
        <f t="shared" si="114"/>
        <v>250029</v>
      </c>
      <c r="B6539" s="8" t="str">
        <f>"2561407012706"</f>
        <v>2561407012706</v>
      </c>
      <c r="C6539" s="8" t="s">
        <v>13</v>
      </c>
      <c r="D6539" s="9">
        <v>55.69</v>
      </c>
      <c r="E6539" s="8">
        <v>51</v>
      </c>
    </row>
    <row r="6540" s="3" customFormat="1" ht="18.75" spans="1:5">
      <c r="A6540" s="8" t="str">
        <f t="shared" si="114"/>
        <v>250029</v>
      </c>
      <c r="B6540" s="8" t="str">
        <f>"2561407012806"</f>
        <v>2561407012806</v>
      </c>
      <c r="C6540" s="8" t="s">
        <v>13</v>
      </c>
      <c r="D6540" s="9">
        <v>55.45</v>
      </c>
      <c r="E6540" s="8">
        <v>52</v>
      </c>
    </row>
    <row r="6541" s="3" customFormat="1" ht="18.75" spans="1:5">
      <c r="A6541" s="8" t="str">
        <f t="shared" si="114"/>
        <v>250029</v>
      </c>
      <c r="B6541" s="8" t="str">
        <f>"2561407012629"</f>
        <v>2561407012629</v>
      </c>
      <c r="C6541" s="8" t="s">
        <v>13</v>
      </c>
      <c r="D6541" s="9">
        <v>55.36</v>
      </c>
      <c r="E6541" s="8">
        <v>53</v>
      </c>
    </row>
    <row r="6542" s="3" customFormat="1" ht="18.75" spans="1:5">
      <c r="A6542" s="8" t="str">
        <f t="shared" si="114"/>
        <v>250029</v>
      </c>
      <c r="B6542" s="8" t="str">
        <f>"2561407012720"</f>
        <v>2561407012720</v>
      </c>
      <c r="C6542" s="8" t="s">
        <v>13</v>
      </c>
      <c r="D6542" s="9">
        <v>55.07</v>
      </c>
      <c r="E6542" s="8">
        <v>54</v>
      </c>
    </row>
    <row r="6543" s="3" customFormat="1" ht="18.75" spans="1:5">
      <c r="A6543" s="8" t="str">
        <f t="shared" si="114"/>
        <v>250029</v>
      </c>
      <c r="B6543" s="8" t="str">
        <f>"2561407012506"</f>
        <v>2561407012506</v>
      </c>
      <c r="C6543" s="8" t="s">
        <v>13</v>
      </c>
      <c r="D6543" s="9">
        <v>55</v>
      </c>
      <c r="E6543" s="8">
        <v>55</v>
      </c>
    </row>
    <row r="6544" s="3" customFormat="1" ht="18.75" spans="1:5">
      <c r="A6544" s="8" t="str">
        <f t="shared" si="114"/>
        <v>250029</v>
      </c>
      <c r="B6544" s="8" t="str">
        <f>"2561407012813"</f>
        <v>2561407012813</v>
      </c>
      <c r="C6544" s="8" t="s">
        <v>13</v>
      </c>
      <c r="D6544" s="9">
        <v>54.89</v>
      </c>
      <c r="E6544" s="8">
        <v>56</v>
      </c>
    </row>
    <row r="6545" s="3" customFormat="1" ht="18.75" spans="1:5">
      <c r="A6545" s="8" t="str">
        <f t="shared" si="114"/>
        <v>250029</v>
      </c>
      <c r="B6545" s="8" t="str">
        <f>"2561407012906"</f>
        <v>2561407012906</v>
      </c>
      <c r="C6545" s="8" t="s">
        <v>13</v>
      </c>
      <c r="D6545" s="9">
        <v>54.76</v>
      </c>
      <c r="E6545" s="8">
        <v>57</v>
      </c>
    </row>
    <row r="6546" s="3" customFormat="1" ht="18.75" spans="1:5">
      <c r="A6546" s="8" t="str">
        <f t="shared" si="114"/>
        <v>250029</v>
      </c>
      <c r="B6546" s="8" t="str">
        <f>"2561407012620"</f>
        <v>2561407012620</v>
      </c>
      <c r="C6546" s="8" t="s">
        <v>13</v>
      </c>
      <c r="D6546" s="9">
        <v>54.73</v>
      </c>
      <c r="E6546" s="8">
        <v>58</v>
      </c>
    </row>
    <row r="6547" s="3" customFormat="1" ht="18.75" spans="1:5">
      <c r="A6547" s="8" t="str">
        <f t="shared" si="114"/>
        <v>250029</v>
      </c>
      <c r="B6547" s="8" t="str">
        <f>"2561407012611"</f>
        <v>2561407012611</v>
      </c>
      <c r="C6547" s="8" t="s">
        <v>13</v>
      </c>
      <c r="D6547" s="9">
        <v>54.64</v>
      </c>
      <c r="E6547" s="8">
        <v>59</v>
      </c>
    </row>
    <row r="6548" s="3" customFormat="1" ht="18.75" spans="1:5">
      <c r="A6548" s="8" t="str">
        <f t="shared" si="114"/>
        <v>250029</v>
      </c>
      <c r="B6548" s="8" t="str">
        <f>"2561407012405"</f>
        <v>2561407012405</v>
      </c>
      <c r="C6548" s="8" t="s">
        <v>13</v>
      </c>
      <c r="D6548" s="9">
        <v>54.48</v>
      </c>
      <c r="E6548" s="8">
        <v>60</v>
      </c>
    </row>
    <row r="6549" s="3" customFormat="1" ht="18.75" spans="1:5">
      <c r="A6549" s="8" t="str">
        <f t="shared" si="114"/>
        <v>250029</v>
      </c>
      <c r="B6549" s="8" t="str">
        <f>"2561407012326"</f>
        <v>2561407012326</v>
      </c>
      <c r="C6549" s="8" t="s">
        <v>13</v>
      </c>
      <c r="D6549" s="9">
        <v>54.32</v>
      </c>
      <c r="E6549" s="8">
        <v>61</v>
      </c>
    </row>
    <row r="6550" s="3" customFormat="1" ht="18.75" spans="1:5">
      <c r="A6550" s="8" t="str">
        <f t="shared" si="114"/>
        <v>250029</v>
      </c>
      <c r="B6550" s="8" t="str">
        <f>"2561407012623"</f>
        <v>2561407012623</v>
      </c>
      <c r="C6550" s="8" t="s">
        <v>13</v>
      </c>
      <c r="D6550" s="9">
        <v>54.27</v>
      </c>
      <c r="E6550" s="8">
        <v>62</v>
      </c>
    </row>
    <row r="6551" s="3" customFormat="1" ht="18.75" spans="1:5">
      <c r="A6551" s="8" t="str">
        <f t="shared" si="114"/>
        <v>250029</v>
      </c>
      <c r="B6551" s="8" t="str">
        <f>"2561407012915"</f>
        <v>2561407012915</v>
      </c>
      <c r="C6551" s="8" t="s">
        <v>13</v>
      </c>
      <c r="D6551" s="9">
        <v>54.02</v>
      </c>
      <c r="E6551" s="8">
        <v>63</v>
      </c>
    </row>
    <row r="6552" s="3" customFormat="1" ht="18.75" spans="1:5">
      <c r="A6552" s="8" t="str">
        <f t="shared" si="114"/>
        <v>250029</v>
      </c>
      <c r="B6552" s="8" t="str">
        <f>"2561407012615"</f>
        <v>2561407012615</v>
      </c>
      <c r="C6552" s="8" t="s">
        <v>13</v>
      </c>
      <c r="D6552" s="9">
        <v>53.78</v>
      </c>
      <c r="E6552" s="8">
        <v>64</v>
      </c>
    </row>
    <row r="6553" s="3" customFormat="1" ht="18.75" spans="1:5">
      <c r="A6553" s="8" t="str">
        <f t="shared" ref="A6553:A6616" si="115">"250029"</f>
        <v>250029</v>
      </c>
      <c r="B6553" s="8" t="str">
        <f>"2561407012406"</f>
        <v>2561407012406</v>
      </c>
      <c r="C6553" s="8" t="s">
        <v>13</v>
      </c>
      <c r="D6553" s="9">
        <v>53.75</v>
      </c>
      <c r="E6553" s="8">
        <v>65</v>
      </c>
    </row>
    <row r="6554" s="3" customFormat="1" ht="18.75" spans="1:5">
      <c r="A6554" s="8" t="str">
        <f t="shared" si="115"/>
        <v>250029</v>
      </c>
      <c r="B6554" s="8" t="str">
        <f>"2561407012928"</f>
        <v>2561407012928</v>
      </c>
      <c r="C6554" s="8" t="s">
        <v>13</v>
      </c>
      <c r="D6554" s="9">
        <v>53.56</v>
      </c>
      <c r="E6554" s="8">
        <v>66</v>
      </c>
    </row>
    <row r="6555" s="3" customFormat="1" ht="18.75" spans="1:5">
      <c r="A6555" s="8" t="str">
        <f t="shared" si="115"/>
        <v>250029</v>
      </c>
      <c r="B6555" s="8" t="str">
        <f>"2561407012930"</f>
        <v>2561407012930</v>
      </c>
      <c r="C6555" s="8" t="s">
        <v>13</v>
      </c>
      <c r="D6555" s="9">
        <v>53.53</v>
      </c>
      <c r="E6555" s="8">
        <v>67</v>
      </c>
    </row>
    <row r="6556" s="3" customFormat="1" ht="18.75" spans="1:5">
      <c r="A6556" s="8" t="str">
        <f t="shared" si="115"/>
        <v>250029</v>
      </c>
      <c r="B6556" s="8" t="str">
        <f>"2561407012329"</f>
        <v>2561407012329</v>
      </c>
      <c r="C6556" s="8" t="s">
        <v>13</v>
      </c>
      <c r="D6556" s="9">
        <v>53.51</v>
      </c>
      <c r="E6556" s="8">
        <v>68</v>
      </c>
    </row>
    <row r="6557" s="3" customFormat="1" ht="18.75" spans="1:5">
      <c r="A6557" s="8" t="str">
        <f t="shared" si="115"/>
        <v>250029</v>
      </c>
      <c r="B6557" s="8" t="str">
        <f>"2561407012608"</f>
        <v>2561407012608</v>
      </c>
      <c r="C6557" s="8" t="s">
        <v>13</v>
      </c>
      <c r="D6557" s="9">
        <v>53.46</v>
      </c>
      <c r="E6557" s="8">
        <v>69</v>
      </c>
    </row>
    <row r="6558" s="3" customFormat="1" ht="18.75" spans="1:5">
      <c r="A6558" s="8" t="str">
        <f t="shared" si="115"/>
        <v>250029</v>
      </c>
      <c r="B6558" s="8" t="str">
        <f>"2561407012914"</f>
        <v>2561407012914</v>
      </c>
      <c r="C6558" s="8" t="s">
        <v>13</v>
      </c>
      <c r="D6558" s="9">
        <v>53.12</v>
      </c>
      <c r="E6558" s="8">
        <v>70</v>
      </c>
    </row>
    <row r="6559" s="3" customFormat="1" ht="18.75" spans="1:5">
      <c r="A6559" s="8" t="str">
        <f t="shared" si="115"/>
        <v>250029</v>
      </c>
      <c r="B6559" s="8" t="str">
        <f>"2561407012905"</f>
        <v>2561407012905</v>
      </c>
      <c r="C6559" s="8" t="s">
        <v>13</v>
      </c>
      <c r="D6559" s="9">
        <v>53.07</v>
      </c>
      <c r="E6559" s="8">
        <v>71</v>
      </c>
    </row>
    <row r="6560" s="3" customFormat="1" ht="18.75" spans="1:5">
      <c r="A6560" s="8" t="str">
        <f t="shared" si="115"/>
        <v>250029</v>
      </c>
      <c r="B6560" s="8" t="str">
        <f>"2561407012425"</f>
        <v>2561407012425</v>
      </c>
      <c r="C6560" s="8" t="s">
        <v>13</v>
      </c>
      <c r="D6560" s="9">
        <v>53.05</v>
      </c>
      <c r="E6560" s="8">
        <v>72</v>
      </c>
    </row>
    <row r="6561" s="3" customFormat="1" ht="18.75" spans="1:5">
      <c r="A6561" s="8" t="str">
        <f t="shared" si="115"/>
        <v>250029</v>
      </c>
      <c r="B6561" s="8" t="str">
        <f>"2561407012408"</f>
        <v>2561407012408</v>
      </c>
      <c r="C6561" s="8" t="s">
        <v>13</v>
      </c>
      <c r="D6561" s="9">
        <v>52.98</v>
      </c>
      <c r="E6561" s="8">
        <v>73</v>
      </c>
    </row>
    <row r="6562" s="3" customFormat="1" ht="18.75" spans="1:5">
      <c r="A6562" s="8" t="str">
        <f t="shared" si="115"/>
        <v>250029</v>
      </c>
      <c r="B6562" s="8" t="str">
        <f>"2561407012524"</f>
        <v>2561407012524</v>
      </c>
      <c r="C6562" s="8" t="s">
        <v>13</v>
      </c>
      <c r="D6562" s="9">
        <v>52.75</v>
      </c>
      <c r="E6562" s="8">
        <v>74</v>
      </c>
    </row>
    <row r="6563" s="3" customFormat="1" ht="18.75" spans="1:5">
      <c r="A6563" s="8" t="str">
        <f t="shared" si="115"/>
        <v>250029</v>
      </c>
      <c r="B6563" s="8" t="str">
        <f>"2561407012423"</f>
        <v>2561407012423</v>
      </c>
      <c r="C6563" s="8" t="s">
        <v>13</v>
      </c>
      <c r="D6563" s="9">
        <v>52.66</v>
      </c>
      <c r="E6563" s="8">
        <v>75</v>
      </c>
    </row>
    <row r="6564" s="3" customFormat="1" ht="18.75" spans="1:5">
      <c r="A6564" s="8" t="str">
        <f t="shared" si="115"/>
        <v>250029</v>
      </c>
      <c r="B6564" s="8" t="str">
        <f>"2561407013003"</f>
        <v>2561407013003</v>
      </c>
      <c r="C6564" s="8" t="s">
        <v>13</v>
      </c>
      <c r="D6564" s="9">
        <v>52.4</v>
      </c>
      <c r="E6564" s="8">
        <v>76</v>
      </c>
    </row>
    <row r="6565" s="3" customFormat="1" ht="18.75" spans="1:5">
      <c r="A6565" s="8" t="str">
        <f t="shared" si="115"/>
        <v>250029</v>
      </c>
      <c r="B6565" s="8" t="str">
        <f>"2561407012617"</f>
        <v>2561407012617</v>
      </c>
      <c r="C6565" s="8" t="s">
        <v>13</v>
      </c>
      <c r="D6565" s="9">
        <v>51.79</v>
      </c>
      <c r="E6565" s="8">
        <v>77</v>
      </c>
    </row>
    <row r="6566" s="3" customFormat="1" ht="18.75" spans="1:5">
      <c r="A6566" s="8" t="str">
        <f t="shared" si="115"/>
        <v>250029</v>
      </c>
      <c r="B6566" s="8" t="str">
        <f>"2561407012911"</f>
        <v>2561407012911</v>
      </c>
      <c r="C6566" s="8" t="s">
        <v>13</v>
      </c>
      <c r="D6566" s="9">
        <v>51.72</v>
      </c>
      <c r="E6566" s="8">
        <v>78</v>
      </c>
    </row>
    <row r="6567" s="3" customFormat="1" ht="18.75" spans="1:5">
      <c r="A6567" s="8" t="str">
        <f t="shared" si="115"/>
        <v>250029</v>
      </c>
      <c r="B6567" s="8" t="str">
        <f>"2561407012717"</f>
        <v>2561407012717</v>
      </c>
      <c r="C6567" s="8" t="s">
        <v>13</v>
      </c>
      <c r="D6567" s="9">
        <v>51.63</v>
      </c>
      <c r="E6567" s="8">
        <v>79</v>
      </c>
    </row>
    <row r="6568" s="3" customFormat="1" ht="18.75" spans="1:5">
      <c r="A6568" s="8" t="str">
        <f t="shared" si="115"/>
        <v>250029</v>
      </c>
      <c r="B6568" s="8" t="str">
        <f>"2561407012714"</f>
        <v>2561407012714</v>
      </c>
      <c r="C6568" s="8" t="s">
        <v>13</v>
      </c>
      <c r="D6568" s="9">
        <v>51.57</v>
      </c>
      <c r="E6568" s="8">
        <v>80</v>
      </c>
    </row>
    <row r="6569" s="3" customFormat="1" ht="18.75" spans="1:5">
      <c r="A6569" s="8" t="str">
        <f t="shared" si="115"/>
        <v>250029</v>
      </c>
      <c r="B6569" s="8" t="str">
        <f>"2561407012811"</f>
        <v>2561407012811</v>
      </c>
      <c r="C6569" s="8" t="s">
        <v>13</v>
      </c>
      <c r="D6569" s="9">
        <v>51.52</v>
      </c>
      <c r="E6569" s="8">
        <v>81</v>
      </c>
    </row>
    <row r="6570" s="3" customFormat="1" ht="18.75" spans="1:5">
      <c r="A6570" s="8" t="str">
        <f t="shared" si="115"/>
        <v>250029</v>
      </c>
      <c r="B6570" s="8" t="str">
        <f>"2561407012504"</f>
        <v>2561407012504</v>
      </c>
      <c r="C6570" s="8" t="s">
        <v>13</v>
      </c>
      <c r="D6570" s="9">
        <v>51.49</v>
      </c>
      <c r="E6570" s="8">
        <v>82</v>
      </c>
    </row>
    <row r="6571" s="3" customFormat="1" ht="18.75" spans="1:5">
      <c r="A6571" s="8" t="str">
        <f t="shared" si="115"/>
        <v>250029</v>
      </c>
      <c r="B6571" s="8" t="str">
        <f>"2561407012920"</f>
        <v>2561407012920</v>
      </c>
      <c r="C6571" s="8" t="s">
        <v>13</v>
      </c>
      <c r="D6571" s="9">
        <v>51.41</v>
      </c>
      <c r="E6571" s="8">
        <v>83</v>
      </c>
    </row>
    <row r="6572" s="3" customFormat="1" ht="18.75" spans="1:5">
      <c r="A6572" s="8" t="str">
        <f t="shared" si="115"/>
        <v>250029</v>
      </c>
      <c r="B6572" s="8" t="str">
        <f>"2561407012701"</f>
        <v>2561407012701</v>
      </c>
      <c r="C6572" s="8" t="s">
        <v>13</v>
      </c>
      <c r="D6572" s="9">
        <v>51.04</v>
      </c>
      <c r="E6572" s="8">
        <v>84</v>
      </c>
    </row>
    <row r="6573" s="3" customFormat="1" ht="18.75" spans="1:5">
      <c r="A6573" s="8" t="str">
        <f t="shared" si="115"/>
        <v>250029</v>
      </c>
      <c r="B6573" s="8" t="str">
        <f>"2561407012426"</f>
        <v>2561407012426</v>
      </c>
      <c r="C6573" s="8" t="s">
        <v>13</v>
      </c>
      <c r="D6573" s="9">
        <v>50.89</v>
      </c>
      <c r="E6573" s="8">
        <v>85</v>
      </c>
    </row>
    <row r="6574" s="3" customFormat="1" ht="18.75" spans="1:5">
      <c r="A6574" s="8" t="str">
        <f t="shared" si="115"/>
        <v>250029</v>
      </c>
      <c r="B6574" s="8" t="str">
        <f>"2561407012705"</f>
        <v>2561407012705</v>
      </c>
      <c r="C6574" s="8" t="s">
        <v>13</v>
      </c>
      <c r="D6574" s="9">
        <v>50.56</v>
      </c>
      <c r="E6574" s="8">
        <v>86</v>
      </c>
    </row>
    <row r="6575" s="3" customFormat="1" ht="18.75" spans="1:5">
      <c r="A6575" s="8" t="str">
        <f t="shared" si="115"/>
        <v>250029</v>
      </c>
      <c r="B6575" s="8" t="str">
        <f>"2561407012719"</f>
        <v>2561407012719</v>
      </c>
      <c r="C6575" s="8" t="s">
        <v>13</v>
      </c>
      <c r="D6575" s="9">
        <v>50.3</v>
      </c>
      <c r="E6575" s="8">
        <v>87</v>
      </c>
    </row>
    <row r="6576" s="3" customFormat="1" ht="18.75" spans="1:5">
      <c r="A6576" s="8" t="str">
        <f t="shared" si="115"/>
        <v>250029</v>
      </c>
      <c r="B6576" s="8" t="str">
        <f>"2561407012909"</f>
        <v>2561407012909</v>
      </c>
      <c r="C6576" s="8" t="s">
        <v>13</v>
      </c>
      <c r="D6576" s="9">
        <v>49.29</v>
      </c>
      <c r="E6576" s="8">
        <v>88</v>
      </c>
    </row>
    <row r="6577" s="3" customFormat="1" ht="18.75" spans="1:5">
      <c r="A6577" s="8" t="str">
        <f t="shared" si="115"/>
        <v>250029</v>
      </c>
      <c r="B6577" s="8" t="str">
        <f>"2561407012728"</f>
        <v>2561407012728</v>
      </c>
      <c r="C6577" s="8" t="s">
        <v>13</v>
      </c>
      <c r="D6577" s="9">
        <v>49.18</v>
      </c>
      <c r="E6577" s="8">
        <v>89</v>
      </c>
    </row>
    <row r="6578" s="3" customFormat="1" ht="18.75" spans="1:5">
      <c r="A6578" s="8" t="str">
        <f t="shared" si="115"/>
        <v>250029</v>
      </c>
      <c r="B6578" s="8" t="str">
        <f>"2561407012703"</f>
        <v>2561407012703</v>
      </c>
      <c r="C6578" s="8" t="s">
        <v>13</v>
      </c>
      <c r="D6578" s="9">
        <v>49.16</v>
      </c>
      <c r="E6578" s="8">
        <v>90</v>
      </c>
    </row>
    <row r="6579" s="3" customFormat="1" ht="18.75" spans="1:5">
      <c r="A6579" s="8" t="str">
        <f t="shared" si="115"/>
        <v>250029</v>
      </c>
      <c r="B6579" s="8" t="str">
        <f>"2561407012709"</f>
        <v>2561407012709</v>
      </c>
      <c r="C6579" s="8" t="s">
        <v>13</v>
      </c>
      <c r="D6579" s="9">
        <v>48.51</v>
      </c>
      <c r="E6579" s="8">
        <v>91</v>
      </c>
    </row>
    <row r="6580" s="3" customFormat="1" ht="18.75" spans="1:5">
      <c r="A6580" s="8" t="str">
        <f t="shared" si="115"/>
        <v>250029</v>
      </c>
      <c r="B6580" s="8" t="str">
        <f>"2561407012416"</f>
        <v>2561407012416</v>
      </c>
      <c r="C6580" s="8" t="s">
        <v>13</v>
      </c>
      <c r="D6580" s="9">
        <v>48.32</v>
      </c>
      <c r="E6580" s="8">
        <v>92</v>
      </c>
    </row>
    <row r="6581" s="3" customFormat="1" ht="18.75" spans="1:5">
      <c r="A6581" s="8" t="str">
        <f t="shared" si="115"/>
        <v>250029</v>
      </c>
      <c r="B6581" s="8" t="str">
        <f>"2561407012404"</f>
        <v>2561407012404</v>
      </c>
      <c r="C6581" s="8" t="s">
        <v>13</v>
      </c>
      <c r="D6581" s="9">
        <v>48.26</v>
      </c>
      <c r="E6581" s="8">
        <v>93</v>
      </c>
    </row>
    <row r="6582" s="3" customFormat="1" ht="18.75" spans="1:5">
      <c r="A6582" s="8" t="str">
        <f t="shared" si="115"/>
        <v>250029</v>
      </c>
      <c r="B6582" s="8" t="str">
        <f>"2561407012612"</f>
        <v>2561407012612</v>
      </c>
      <c r="C6582" s="8" t="s">
        <v>13</v>
      </c>
      <c r="D6582" s="9">
        <v>47.48</v>
      </c>
      <c r="E6582" s="8">
        <v>94</v>
      </c>
    </row>
    <row r="6583" s="3" customFormat="1" ht="18.75" spans="1:5">
      <c r="A6583" s="8" t="str">
        <f t="shared" si="115"/>
        <v>250029</v>
      </c>
      <c r="B6583" s="8" t="str">
        <f>"2561407012622"</f>
        <v>2561407012622</v>
      </c>
      <c r="C6583" s="8" t="s">
        <v>13</v>
      </c>
      <c r="D6583" s="9">
        <v>47.37</v>
      </c>
      <c r="E6583" s="8">
        <v>95</v>
      </c>
    </row>
    <row r="6584" s="3" customFormat="1" ht="18.75" spans="1:5">
      <c r="A6584" s="8" t="str">
        <f t="shared" si="115"/>
        <v>250029</v>
      </c>
      <c r="B6584" s="8" t="str">
        <f>"2561407012501"</f>
        <v>2561407012501</v>
      </c>
      <c r="C6584" s="8" t="s">
        <v>13</v>
      </c>
      <c r="D6584" s="9">
        <v>47.13</v>
      </c>
      <c r="E6584" s="8">
        <v>96</v>
      </c>
    </row>
    <row r="6585" s="3" customFormat="1" ht="18.75" spans="1:5">
      <c r="A6585" s="8" t="str">
        <f t="shared" si="115"/>
        <v>250029</v>
      </c>
      <c r="B6585" s="8" t="str">
        <f>"2561407012503"</f>
        <v>2561407012503</v>
      </c>
      <c r="C6585" s="8" t="s">
        <v>13</v>
      </c>
      <c r="D6585" s="9">
        <v>46.82</v>
      </c>
      <c r="E6585" s="8">
        <v>97</v>
      </c>
    </row>
    <row r="6586" s="3" customFormat="1" ht="18.75" spans="1:5">
      <c r="A6586" s="8" t="str">
        <f t="shared" si="115"/>
        <v>250029</v>
      </c>
      <c r="B6586" s="8" t="str">
        <f>"2561407012725"</f>
        <v>2561407012725</v>
      </c>
      <c r="C6586" s="8" t="s">
        <v>13</v>
      </c>
      <c r="D6586" s="9">
        <v>46.1</v>
      </c>
      <c r="E6586" s="8">
        <v>98</v>
      </c>
    </row>
    <row r="6587" s="3" customFormat="1" ht="18.75" spans="1:5">
      <c r="A6587" s="8" t="str">
        <f t="shared" si="115"/>
        <v>250029</v>
      </c>
      <c r="B6587" s="8" t="str">
        <f>"2561407012428"</f>
        <v>2561407012428</v>
      </c>
      <c r="C6587" s="8" t="s">
        <v>13</v>
      </c>
      <c r="D6587" s="9">
        <v>46.03</v>
      </c>
      <c r="E6587" s="8">
        <v>99</v>
      </c>
    </row>
    <row r="6588" s="3" customFormat="1" ht="18.75" spans="1:5">
      <c r="A6588" s="8" t="str">
        <f t="shared" si="115"/>
        <v>250029</v>
      </c>
      <c r="B6588" s="8" t="str">
        <f>"2561407012330"</f>
        <v>2561407012330</v>
      </c>
      <c r="C6588" s="8" t="s">
        <v>13</v>
      </c>
      <c r="D6588" s="9">
        <v>45.51</v>
      </c>
      <c r="E6588" s="8">
        <v>100</v>
      </c>
    </row>
    <row r="6589" s="3" customFormat="1" ht="18.75" spans="1:5">
      <c r="A6589" s="8" t="str">
        <f t="shared" si="115"/>
        <v>250029</v>
      </c>
      <c r="B6589" s="8" t="str">
        <f>"2561407012610"</f>
        <v>2561407012610</v>
      </c>
      <c r="C6589" s="8" t="s">
        <v>13</v>
      </c>
      <c r="D6589" s="9">
        <v>45.49</v>
      </c>
      <c r="E6589" s="8">
        <v>101</v>
      </c>
    </row>
    <row r="6590" s="3" customFormat="1" ht="18.75" spans="1:5">
      <c r="A6590" s="8" t="str">
        <f t="shared" si="115"/>
        <v>250029</v>
      </c>
      <c r="B6590" s="8" t="str">
        <f>"2561407012923"</f>
        <v>2561407012923</v>
      </c>
      <c r="C6590" s="8" t="s">
        <v>13</v>
      </c>
      <c r="D6590" s="9">
        <v>45.33</v>
      </c>
      <c r="E6590" s="8">
        <v>102</v>
      </c>
    </row>
    <row r="6591" s="3" customFormat="1" ht="18.75" spans="1:5">
      <c r="A6591" s="8" t="str">
        <f t="shared" si="115"/>
        <v>250029</v>
      </c>
      <c r="B6591" s="8" t="str">
        <f>"2561407012723"</f>
        <v>2561407012723</v>
      </c>
      <c r="C6591" s="8" t="s">
        <v>13</v>
      </c>
      <c r="D6591" s="9">
        <v>45.07</v>
      </c>
      <c r="E6591" s="8">
        <v>103</v>
      </c>
    </row>
    <row r="6592" s="3" customFormat="1" ht="18.75" spans="1:5">
      <c r="A6592" s="8" t="str">
        <f t="shared" si="115"/>
        <v>250029</v>
      </c>
      <c r="B6592" s="8" t="str">
        <f>"2561407013011"</f>
        <v>2561407013011</v>
      </c>
      <c r="C6592" s="8" t="s">
        <v>13</v>
      </c>
      <c r="D6592" s="9">
        <v>44.99</v>
      </c>
      <c r="E6592" s="8">
        <v>104</v>
      </c>
    </row>
    <row r="6593" s="3" customFormat="1" ht="18.75" spans="1:5">
      <c r="A6593" s="8" t="str">
        <f t="shared" si="115"/>
        <v>250029</v>
      </c>
      <c r="B6593" s="8" t="str">
        <f>"2561407012420"</f>
        <v>2561407012420</v>
      </c>
      <c r="C6593" s="8" t="s">
        <v>13</v>
      </c>
      <c r="D6593" s="9">
        <v>44.92</v>
      </c>
      <c r="E6593" s="8">
        <v>105</v>
      </c>
    </row>
    <row r="6594" s="3" customFormat="1" ht="18.75" spans="1:5">
      <c r="A6594" s="8" t="str">
        <f t="shared" si="115"/>
        <v>250029</v>
      </c>
      <c r="B6594" s="8" t="str">
        <f>"2561407012624"</f>
        <v>2561407012624</v>
      </c>
      <c r="C6594" s="8" t="s">
        <v>13</v>
      </c>
      <c r="D6594" s="9">
        <v>44.57</v>
      </c>
      <c r="E6594" s="8">
        <v>106</v>
      </c>
    </row>
    <row r="6595" s="3" customFormat="1" ht="18.75" spans="1:5">
      <c r="A6595" s="8" t="str">
        <f t="shared" si="115"/>
        <v>250029</v>
      </c>
      <c r="B6595" s="8" t="str">
        <f>"2561407012729"</f>
        <v>2561407012729</v>
      </c>
      <c r="C6595" s="8" t="s">
        <v>13</v>
      </c>
      <c r="D6595" s="9">
        <v>43.52</v>
      </c>
      <c r="E6595" s="8">
        <v>107</v>
      </c>
    </row>
    <row r="6596" s="3" customFormat="1" ht="18.75" spans="1:5">
      <c r="A6596" s="8" t="str">
        <f t="shared" si="115"/>
        <v>250029</v>
      </c>
      <c r="B6596" s="8" t="str">
        <f>"2561407013009"</f>
        <v>2561407013009</v>
      </c>
      <c r="C6596" s="8" t="s">
        <v>13</v>
      </c>
      <c r="D6596" s="9">
        <v>42.82</v>
      </c>
      <c r="E6596" s="8">
        <v>108</v>
      </c>
    </row>
    <row r="6597" s="3" customFormat="1" ht="18.75" spans="1:5">
      <c r="A6597" s="8" t="str">
        <f t="shared" si="115"/>
        <v>250029</v>
      </c>
      <c r="B6597" s="8" t="str">
        <f>"2561407012528"</f>
        <v>2561407012528</v>
      </c>
      <c r="C6597" s="8" t="s">
        <v>13</v>
      </c>
      <c r="D6597" s="9">
        <v>42.62</v>
      </c>
      <c r="E6597" s="8">
        <v>109</v>
      </c>
    </row>
    <row r="6598" s="3" customFormat="1" ht="18.75" spans="1:5">
      <c r="A6598" s="8" t="str">
        <f t="shared" si="115"/>
        <v>250029</v>
      </c>
      <c r="B6598" s="8" t="str">
        <f>"2561407012523"</f>
        <v>2561407012523</v>
      </c>
      <c r="C6598" s="8" t="s">
        <v>13</v>
      </c>
      <c r="D6598" s="9">
        <v>41.82</v>
      </c>
      <c r="E6598" s="8">
        <v>110</v>
      </c>
    </row>
    <row r="6599" s="3" customFormat="1" ht="18.75" spans="1:5">
      <c r="A6599" s="8" t="str">
        <f t="shared" si="115"/>
        <v>250029</v>
      </c>
      <c r="B6599" s="8" t="str">
        <f>"2561407012817"</f>
        <v>2561407012817</v>
      </c>
      <c r="C6599" s="8" t="s">
        <v>13</v>
      </c>
      <c r="D6599" s="9">
        <v>40.93</v>
      </c>
      <c r="E6599" s="8">
        <v>111</v>
      </c>
    </row>
    <row r="6600" s="3" customFormat="1" ht="18.75" spans="1:5">
      <c r="A6600" s="8" t="str">
        <f t="shared" si="115"/>
        <v>250029</v>
      </c>
      <c r="B6600" s="8" t="str">
        <f>"2561407012402"</f>
        <v>2561407012402</v>
      </c>
      <c r="C6600" s="8" t="s">
        <v>13</v>
      </c>
      <c r="D6600" s="9">
        <v>40.23</v>
      </c>
      <c r="E6600" s="8">
        <v>112</v>
      </c>
    </row>
    <row r="6601" s="3" customFormat="1" ht="18.75" spans="1:5">
      <c r="A6601" s="8" t="str">
        <f t="shared" si="115"/>
        <v>250029</v>
      </c>
      <c r="B6601" s="8" t="str">
        <f>"2561407012924"</f>
        <v>2561407012924</v>
      </c>
      <c r="C6601" s="8" t="s">
        <v>13</v>
      </c>
      <c r="D6601" s="9">
        <v>36.42</v>
      </c>
      <c r="E6601" s="8">
        <v>113</v>
      </c>
    </row>
    <row r="6602" s="3" customFormat="1" ht="18.75" spans="1:5">
      <c r="A6602" s="8" t="str">
        <f t="shared" si="115"/>
        <v>250029</v>
      </c>
      <c r="B6602" s="8" t="str">
        <f>"2561407012323"</f>
        <v>2561407012323</v>
      </c>
      <c r="C6602" s="8" t="s">
        <v>13</v>
      </c>
      <c r="D6602" s="9">
        <v>0</v>
      </c>
      <c r="E6602" s="8">
        <v>114</v>
      </c>
    </row>
    <row r="6603" s="3" customFormat="1" ht="18.75" spans="1:5">
      <c r="A6603" s="8" t="str">
        <f t="shared" si="115"/>
        <v>250029</v>
      </c>
      <c r="B6603" s="8" t="str">
        <f>"2561407012324"</f>
        <v>2561407012324</v>
      </c>
      <c r="C6603" s="8" t="s">
        <v>13</v>
      </c>
      <c r="D6603" s="9">
        <v>0</v>
      </c>
      <c r="E6603" s="8">
        <v>114</v>
      </c>
    </row>
    <row r="6604" s="3" customFormat="1" ht="18.75" spans="1:5">
      <c r="A6604" s="8" t="str">
        <f t="shared" si="115"/>
        <v>250029</v>
      </c>
      <c r="B6604" s="8" t="str">
        <f>"2561407012325"</f>
        <v>2561407012325</v>
      </c>
      <c r="C6604" s="8" t="s">
        <v>13</v>
      </c>
      <c r="D6604" s="9">
        <v>0</v>
      </c>
      <c r="E6604" s="8">
        <v>114</v>
      </c>
    </row>
    <row r="6605" s="3" customFormat="1" ht="18.75" spans="1:5">
      <c r="A6605" s="8" t="str">
        <f t="shared" si="115"/>
        <v>250029</v>
      </c>
      <c r="B6605" s="8" t="str">
        <f>"2561407012327"</f>
        <v>2561407012327</v>
      </c>
      <c r="C6605" s="8" t="s">
        <v>13</v>
      </c>
      <c r="D6605" s="9">
        <v>0</v>
      </c>
      <c r="E6605" s="8">
        <v>114</v>
      </c>
    </row>
    <row r="6606" s="3" customFormat="1" ht="18.75" spans="1:5">
      <c r="A6606" s="8" t="str">
        <f t="shared" si="115"/>
        <v>250029</v>
      </c>
      <c r="B6606" s="8" t="str">
        <f>"2561407012401"</f>
        <v>2561407012401</v>
      </c>
      <c r="C6606" s="8" t="s">
        <v>13</v>
      </c>
      <c r="D6606" s="9">
        <v>0</v>
      </c>
      <c r="E6606" s="8">
        <v>114</v>
      </c>
    </row>
    <row r="6607" s="3" customFormat="1" ht="18.75" spans="1:5">
      <c r="A6607" s="8" t="str">
        <f t="shared" si="115"/>
        <v>250029</v>
      </c>
      <c r="B6607" s="8" t="str">
        <f>"2561407012410"</f>
        <v>2561407012410</v>
      </c>
      <c r="C6607" s="8" t="s">
        <v>13</v>
      </c>
      <c r="D6607" s="9">
        <v>0</v>
      </c>
      <c r="E6607" s="8">
        <v>114</v>
      </c>
    </row>
    <row r="6608" s="3" customFormat="1" ht="18.75" spans="1:5">
      <c r="A6608" s="8" t="str">
        <f t="shared" si="115"/>
        <v>250029</v>
      </c>
      <c r="B6608" s="8" t="str">
        <f>"2561407012411"</f>
        <v>2561407012411</v>
      </c>
      <c r="C6608" s="8" t="s">
        <v>13</v>
      </c>
      <c r="D6608" s="9">
        <v>0</v>
      </c>
      <c r="E6608" s="8">
        <v>114</v>
      </c>
    </row>
    <row r="6609" s="3" customFormat="1" ht="18.75" spans="1:5">
      <c r="A6609" s="8" t="str">
        <f t="shared" si="115"/>
        <v>250029</v>
      </c>
      <c r="B6609" s="8" t="str">
        <f>"2561407012414"</f>
        <v>2561407012414</v>
      </c>
      <c r="C6609" s="8" t="s">
        <v>13</v>
      </c>
      <c r="D6609" s="9">
        <v>0</v>
      </c>
      <c r="E6609" s="8">
        <v>114</v>
      </c>
    </row>
    <row r="6610" s="3" customFormat="1" ht="18.75" spans="1:5">
      <c r="A6610" s="8" t="str">
        <f t="shared" si="115"/>
        <v>250029</v>
      </c>
      <c r="B6610" s="8" t="str">
        <f>"2561407012415"</f>
        <v>2561407012415</v>
      </c>
      <c r="C6610" s="8" t="s">
        <v>13</v>
      </c>
      <c r="D6610" s="9">
        <v>0</v>
      </c>
      <c r="E6610" s="8">
        <v>114</v>
      </c>
    </row>
    <row r="6611" s="3" customFormat="1" ht="18.75" spans="1:5">
      <c r="A6611" s="8" t="str">
        <f t="shared" si="115"/>
        <v>250029</v>
      </c>
      <c r="B6611" s="8" t="str">
        <f>"2561407012417"</f>
        <v>2561407012417</v>
      </c>
      <c r="C6611" s="8" t="s">
        <v>13</v>
      </c>
      <c r="D6611" s="9">
        <v>0</v>
      </c>
      <c r="E6611" s="8">
        <v>114</v>
      </c>
    </row>
    <row r="6612" s="3" customFormat="1" ht="18.75" spans="1:5">
      <c r="A6612" s="8" t="str">
        <f t="shared" si="115"/>
        <v>250029</v>
      </c>
      <c r="B6612" s="8" t="str">
        <f>"2561407012419"</f>
        <v>2561407012419</v>
      </c>
      <c r="C6612" s="8" t="s">
        <v>13</v>
      </c>
      <c r="D6612" s="9">
        <v>0</v>
      </c>
      <c r="E6612" s="8">
        <v>114</v>
      </c>
    </row>
    <row r="6613" s="3" customFormat="1" ht="18.75" spans="1:5">
      <c r="A6613" s="8" t="str">
        <f t="shared" si="115"/>
        <v>250029</v>
      </c>
      <c r="B6613" s="8" t="str">
        <f>"2561407012422"</f>
        <v>2561407012422</v>
      </c>
      <c r="C6613" s="8" t="s">
        <v>13</v>
      </c>
      <c r="D6613" s="9">
        <v>0</v>
      </c>
      <c r="E6613" s="8">
        <v>114</v>
      </c>
    </row>
    <row r="6614" s="3" customFormat="1" ht="18.75" spans="1:5">
      <c r="A6614" s="8" t="str">
        <f t="shared" si="115"/>
        <v>250029</v>
      </c>
      <c r="B6614" s="8" t="str">
        <f>"2561407012424"</f>
        <v>2561407012424</v>
      </c>
      <c r="C6614" s="8" t="s">
        <v>13</v>
      </c>
      <c r="D6614" s="9">
        <v>0</v>
      </c>
      <c r="E6614" s="8">
        <v>114</v>
      </c>
    </row>
    <row r="6615" s="3" customFormat="1" ht="18.75" spans="1:5">
      <c r="A6615" s="8" t="str">
        <f t="shared" si="115"/>
        <v>250029</v>
      </c>
      <c r="B6615" s="8" t="str">
        <f>"2561407012427"</f>
        <v>2561407012427</v>
      </c>
      <c r="C6615" s="8" t="s">
        <v>13</v>
      </c>
      <c r="D6615" s="9">
        <v>0</v>
      </c>
      <c r="E6615" s="8">
        <v>114</v>
      </c>
    </row>
    <row r="6616" s="3" customFormat="1" ht="18.75" spans="1:5">
      <c r="A6616" s="8" t="str">
        <f t="shared" si="115"/>
        <v>250029</v>
      </c>
      <c r="B6616" s="8" t="str">
        <f>"2561407012429"</f>
        <v>2561407012429</v>
      </c>
      <c r="C6616" s="8" t="s">
        <v>13</v>
      </c>
      <c r="D6616" s="9">
        <v>0</v>
      </c>
      <c r="E6616" s="8">
        <v>114</v>
      </c>
    </row>
    <row r="6617" s="3" customFormat="1" ht="18.75" spans="1:5">
      <c r="A6617" s="8" t="str">
        <f t="shared" ref="A6617:A6680" si="116">"250029"</f>
        <v>250029</v>
      </c>
      <c r="B6617" s="8" t="str">
        <f>"2561407012502"</f>
        <v>2561407012502</v>
      </c>
      <c r="C6617" s="8" t="s">
        <v>13</v>
      </c>
      <c r="D6617" s="9">
        <v>0</v>
      </c>
      <c r="E6617" s="8">
        <v>114</v>
      </c>
    </row>
    <row r="6618" s="3" customFormat="1" ht="18.75" spans="1:5">
      <c r="A6618" s="8" t="str">
        <f t="shared" si="116"/>
        <v>250029</v>
      </c>
      <c r="B6618" s="8" t="str">
        <f>"2561407012511"</f>
        <v>2561407012511</v>
      </c>
      <c r="C6618" s="8" t="s">
        <v>13</v>
      </c>
      <c r="D6618" s="9">
        <v>0</v>
      </c>
      <c r="E6618" s="8">
        <v>114</v>
      </c>
    </row>
    <row r="6619" s="3" customFormat="1" ht="18.75" spans="1:5">
      <c r="A6619" s="8" t="str">
        <f t="shared" si="116"/>
        <v>250029</v>
      </c>
      <c r="B6619" s="8" t="str">
        <f>"2561407012513"</f>
        <v>2561407012513</v>
      </c>
      <c r="C6619" s="8" t="s">
        <v>13</v>
      </c>
      <c r="D6619" s="9">
        <v>0</v>
      </c>
      <c r="E6619" s="8">
        <v>114</v>
      </c>
    </row>
    <row r="6620" s="3" customFormat="1" ht="18.75" spans="1:5">
      <c r="A6620" s="8" t="str">
        <f t="shared" si="116"/>
        <v>250029</v>
      </c>
      <c r="B6620" s="8" t="str">
        <f>"2561407012515"</f>
        <v>2561407012515</v>
      </c>
      <c r="C6620" s="8" t="s">
        <v>13</v>
      </c>
      <c r="D6620" s="9">
        <v>0</v>
      </c>
      <c r="E6620" s="8">
        <v>114</v>
      </c>
    </row>
    <row r="6621" s="3" customFormat="1" ht="18.75" spans="1:5">
      <c r="A6621" s="8" t="str">
        <f t="shared" si="116"/>
        <v>250029</v>
      </c>
      <c r="B6621" s="8" t="str">
        <f>"2561407012516"</f>
        <v>2561407012516</v>
      </c>
      <c r="C6621" s="8" t="s">
        <v>13</v>
      </c>
      <c r="D6621" s="9">
        <v>0</v>
      </c>
      <c r="E6621" s="8">
        <v>114</v>
      </c>
    </row>
    <row r="6622" s="3" customFormat="1" ht="18.75" spans="1:5">
      <c r="A6622" s="8" t="str">
        <f t="shared" si="116"/>
        <v>250029</v>
      </c>
      <c r="B6622" s="8" t="str">
        <f>"2561407012518"</f>
        <v>2561407012518</v>
      </c>
      <c r="C6622" s="8" t="s">
        <v>13</v>
      </c>
      <c r="D6622" s="9">
        <v>0</v>
      </c>
      <c r="E6622" s="8">
        <v>114</v>
      </c>
    </row>
    <row r="6623" s="3" customFormat="1" ht="18.75" spans="1:5">
      <c r="A6623" s="8" t="str">
        <f t="shared" si="116"/>
        <v>250029</v>
      </c>
      <c r="B6623" s="8" t="str">
        <f>"2561407012519"</f>
        <v>2561407012519</v>
      </c>
      <c r="C6623" s="8" t="s">
        <v>13</v>
      </c>
      <c r="D6623" s="9">
        <v>0</v>
      </c>
      <c r="E6623" s="8">
        <v>114</v>
      </c>
    </row>
    <row r="6624" s="3" customFormat="1" ht="18.75" spans="1:5">
      <c r="A6624" s="8" t="str">
        <f t="shared" si="116"/>
        <v>250029</v>
      </c>
      <c r="B6624" s="8" t="str">
        <f>"2561407012522"</f>
        <v>2561407012522</v>
      </c>
      <c r="C6624" s="8" t="s">
        <v>13</v>
      </c>
      <c r="D6624" s="9">
        <v>0</v>
      </c>
      <c r="E6624" s="8">
        <v>114</v>
      </c>
    </row>
    <row r="6625" s="3" customFormat="1" ht="18.75" spans="1:5">
      <c r="A6625" s="8" t="str">
        <f t="shared" si="116"/>
        <v>250029</v>
      </c>
      <c r="B6625" s="8" t="str">
        <f>"2561407012526"</f>
        <v>2561407012526</v>
      </c>
      <c r="C6625" s="8" t="s">
        <v>13</v>
      </c>
      <c r="D6625" s="9">
        <v>0</v>
      </c>
      <c r="E6625" s="8">
        <v>114</v>
      </c>
    </row>
    <row r="6626" s="3" customFormat="1" ht="18.75" spans="1:5">
      <c r="A6626" s="8" t="str">
        <f t="shared" si="116"/>
        <v>250029</v>
      </c>
      <c r="B6626" s="8" t="str">
        <f>"2561407012527"</f>
        <v>2561407012527</v>
      </c>
      <c r="C6626" s="8" t="s">
        <v>13</v>
      </c>
      <c r="D6626" s="9">
        <v>0</v>
      </c>
      <c r="E6626" s="8">
        <v>114</v>
      </c>
    </row>
    <row r="6627" s="3" customFormat="1" ht="18.75" spans="1:5">
      <c r="A6627" s="8" t="str">
        <f t="shared" si="116"/>
        <v>250029</v>
      </c>
      <c r="B6627" s="8" t="str">
        <f>"2561407012602"</f>
        <v>2561407012602</v>
      </c>
      <c r="C6627" s="8" t="s">
        <v>13</v>
      </c>
      <c r="D6627" s="9">
        <v>0</v>
      </c>
      <c r="E6627" s="8">
        <v>114</v>
      </c>
    </row>
    <row r="6628" s="3" customFormat="1" ht="18.75" spans="1:5">
      <c r="A6628" s="8" t="str">
        <f t="shared" si="116"/>
        <v>250029</v>
      </c>
      <c r="B6628" s="8" t="str">
        <f>"2561407012603"</f>
        <v>2561407012603</v>
      </c>
      <c r="C6628" s="8" t="s">
        <v>13</v>
      </c>
      <c r="D6628" s="9">
        <v>0</v>
      </c>
      <c r="E6628" s="8">
        <v>114</v>
      </c>
    </row>
    <row r="6629" s="3" customFormat="1" ht="18.75" spans="1:5">
      <c r="A6629" s="8" t="str">
        <f t="shared" si="116"/>
        <v>250029</v>
      </c>
      <c r="B6629" s="8" t="str">
        <f>"2561407012605"</f>
        <v>2561407012605</v>
      </c>
      <c r="C6629" s="8" t="s">
        <v>13</v>
      </c>
      <c r="D6629" s="9">
        <v>0</v>
      </c>
      <c r="E6629" s="8">
        <v>114</v>
      </c>
    </row>
    <row r="6630" s="3" customFormat="1" ht="18.75" spans="1:5">
      <c r="A6630" s="8" t="str">
        <f t="shared" si="116"/>
        <v>250029</v>
      </c>
      <c r="B6630" s="8" t="str">
        <f>"2561407012606"</f>
        <v>2561407012606</v>
      </c>
      <c r="C6630" s="8" t="s">
        <v>13</v>
      </c>
      <c r="D6630" s="9">
        <v>0</v>
      </c>
      <c r="E6630" s="8">
        <v>114</v>
      </c>
    </row>
    <row r="6631" s="3" customFormat="1" ht="18.75" spans="1:5">
      <c r="A6631" s="8" t="str">
        <f t="shared" si="116"/>
        <v>250029</v>
      </c>
      <c r="B6631" s="8" t="str">
        <f>"2561407012607"</f>
        <v>2561407012607</v>
      </c>
      <c r="C6631" s="8" t="s">
        <v>13</v>
      </c>
      <c r="D6631" s="9">
        <v>0</v>
      </c>
      <c r="E6631" s="8">
        <v>114</v>
      </c>
    </row>
    <row r="6632" s="3" customFormat="1" ht="18.75" spans="1:5">
      <c r="A6632" s="8" t="str">
        <f t="shared" si="116"/>
        <v>250029</v>
      </c>
      <c r="B6632" s="8" t="str">
        <f>"2561407012613"</f>
        <v>2561407012613</v>
      </c>
      <c r="C6632" s="8" t="s">
        <v>13</v>
      </c>
      <c r="D6632" s="9">
        <v>0</v>
      </c>
      <c r="E6632" s="8">
        <v>114</v>
      </c>
    </row>
    <row r="6633" s="3" customFormat="1" ht="18.75" spans="1:5">
      <c r="A6633" s="8" t="str">
        <f t="shared" si="116"/>
        <v>250029</v>
      </c>
      <c r="B6633" s="8" t="str">
        <f>"2561407012614"</f>
        <v>2561407012614</v>
      </c>
      <c r="C6633" s="8" t="s">
        <v>13</v>
      </c>
      <c r="D6633" s="9">
        <v>0</v>
      </c>
      <c r="E6633" s="8">
        <v>114</v>
      </c>
    </row>
    <row r="6634" s="3" customFormat="1" ht="18.75" spans="1:5">
      <c r="A6634" s="8" t="str">
        <f t="shared" si="116"/>
        <v>250029</v>
      </c>
      <c r="B6634" s="8" t="str">
        <f>"2561407012616"</f>
        <v>2561407012616</v>
      </c>
      <c r="C6634" s="8" t="s">
        <v>13</v>
      </c>
      <c r="D6634" s="9">
        <v>0</v>
      </c>
      <c r="E6634" s="8">
        <v>114</v>
      </c>
    </row>
    <row r="6635" s="3" customFormat="1" ht="18.75" spans="1:5">
      <c r="A6635" s="8" t="str">
        <f t="shared" si="116"/>
        <v>250029</v>
      </c>
      <c r="B6635" s="8" t="str">
        <f>"2561407012619"</f>
        <v>2561407012619</v>
      </c>
      <c r="C6635" s="8" t="s">
        <v>13</v>
      </c>
      <c r="D6635" s="9">
        <v>0</v>
      </c>
      <c r="E6635" s="8">
        <v>114</v>
      </c>
    </row>
    <row r="6636" s="3" customFormat="1" ht="18.75" spans="1:5">
      <c r="A6636" s="8" t="str">
        <f t="shared" si="116"/>
        <v>250029</v>
      </c>
      <c r="B6636" s="8" t="str">
        <f>"2561407012621"</f>
        <v>2561407012621</v>
      </c>
      <c r="C6636" s="8" t="s">
        <v>13</v>
      </c>
      <c r="D6636" s="9">
        <v>0</v>
      </c>
      <c r="E6636" s="8">
        <v>114</v>
      </c>
    </row>
    <row r="6637" s="3" customFormat="1" ht="18.75" spans="1:5">
      <c r="A6637" s="8" t="str">
        <f t="shared" si="116"/>
        <v>250029</v>
      </c>
      <c r="B6637" s="8" t="str">
        <f>"2561407012625"</f>
        <v>2561407012625</v>
      </c>
      <c r="C6637" s="8" t="s">
        <v>13</v>
      </c>
      <c r="D6637" s="9">
        <v>0</v>
      </c>
      <c r="E6637" s="8">
        <v>114</v>
      </c>
    </row>
    <row r="6638" s="3" customFormat="1" ht="18.75" spans="1:5">
      <c r="A6638" s="8" t="str">
        <f t="shared" si="116"/>
        <v>250029</v>
      </c>
      <c r="B6638" s="8" t="str">
        <f>"2561407012626"</f>
        <v>2561407012626</v>
      </c>
      <c r="C6638" s="8" t="s">
        <v>13</v>
      </c>
      <c r="D6638" s="9">
        <v>0</v>
      </c>
      <c r="E6638" s="8">
        <v>114</v>
      </c>
    </row>
    <row r="6639" s="3" customFormat="1" ht="18.75" spans="1:5">
      <c r="A6639" s="8" t="str">
        <f t="shared" si="116"/>
        <v>250029</v>
      </c>
      <c r="B6639" s="8" t="str">
        <f>"2561407012627"</f>
        <v>2561407012627</v>
      </c>
      <c r="C6639" s="8" t="s">
        <v>13</v>
      </c>
      <c r="D6639" s="9">
        <v>0</v>
      </c>
      <c r="E6639" s="8">
        <v>114</v>
      </c>
    </row>
    <row r="6640" s="3" customFormat="1" ht="18.75" spans="1:5">
      <c r="A6640" s="8" t="str">
        <f t="shared" si="116"/>
        <v>250029</v>
      </c>
      <c r="B6640" s="8" t="str">
        <f>"2561407012628"</f>
        <v>2561407012628</v>
      </c>
      <c r="C6640" s="8" t="s">
        <v>13</v>
      </c>
      <c r="D6640" s="9">
        <v>0</v>
      </c>
      <c r="E6640" s="8">
        <v>114</v>
      </c>
    </row>
    <row r="6641" s="3" customFormat="1" ht="18.75" spans="1:5">
      <c r="A6641" s="8" t="str">
        <f t="shared" si="116"/>
        <v>250029</v>
      </c>
      <c r="B6641" s="8" t="str">
        <f>"2561407012630"</f>
        <v>2561407012630</v>
      </c>
      <c r="C6641" s="8" t="s">
        <v>13</v>
      </c>
      <c r="D6641" s="9">
        <v>0</v>
      </c>
      <c r="E6641" s="8">
        <v>114</v>
      </c>
    </row>
    <row r="6642" s="3" customFormat="1" ht="18.75" spans="1:5">
      <c r="A6642" s="8" t="str">
        <f t="shared" si="116"/>
        <v>250029</v>
      </c>
      <c r="B6642" s="8" t="str">
        <f>"2561407012702"</f>
        <v>2561407012702</v>
      </c>
      <c r="C6642" s="8" t="s">
        <v>13</v>
      </c>
      <c r="D6642" s="9">
        <v>0</v>
      </c>
      <c r="E6642" s="8">
        <v>114</v>
      </c>
    </row>
    <row r="6643" s="3" customFormat="1" ht="18.75" spans="1:5">
      <c r="A6643" s="8" t="str">
        <f t="shared" si="116"/>
        <v>250029</v>
      </c>
      <c r="B6643" s="8" t="str">
        <f>"2561407012704"</f>
        <v>2561407012704</v>
      </c>
      <c r="C6643" s="8" t="s">
        <v>13</v>
      </c>
      <c r="D6643" s="9">
        <v>0</v>
      </c>
      <c r="E6643" s="8">
        <v>114</v>
      </c>
    </row>
    <row r="6644" s="3" customFormat="1" ht="18.75" spans="1:5">
      <c r="A6644" s="8" t="str">
        <f t="shared" si="116"/>
        <v>250029</v>
      </c>
      <c r="B6644" s="8" t="str">
        <f>"2561407012707"</f>
        <v>2561407012707</v>
      </c>
      <c r="C6644" s="8" t="s">
        <v>13</v>
      </c>
      <c r="D6644" s="9">
        <v>0</v>
      </c>
      <c r="E6644" s="8">
        <v>114</v>
      </c>
    </row>
    <row r="6645" s="3" customFormat="1" ht="18.75" spans="1:5">
      <c r="A6645" s="8" t="str">
        <f t="shared" si="116"/>
        <v>250029</v>
      </c>
      <c r="B6645" s="8" t="str">
        <f>"2561407012710"</f>
        <v>2561407012710</v>
      </c>
      <c r="C6645" s="8" t="s">
        <v>13</v>
      </c>
      <c r="D6645" s="9">
        <v>0</v>
      </c>
      <c r="E6645" s="8">
        <v>114</v>
      </c>
    </row>
    <row r="6646" s="3" customFormat="1" ht="18.75" spans="1:5">
      <c r="A6646" s="8" t="str">
        <f t="shared" si="116"/>
        <v>250029</v>
      </c>
      <c r="B6646" s="8" t="str">
        <f>"2561407012711"</f>
        <v>2561407012711</v>
      </c>
      <c r="C6646" s="8" t="s">
        <v>13</v>
      </c>
      <c r="D6646" s="9">
        <v>0</v>
      </c>
      <c r="E6646" s="8">
        <v>114</v>
      </c>
    </row>
    <row r="6647" s="3" customFormat="1" ht="18.75" spans="1:5">
      <c r="A6647" s="8" t="str">
        <f t="shared" si="116"/>
        <v>250029</v>
      </c>
      <c r="B6647" s="8" t="str">
        <f>"2561407012712"</f>
        <v>2561407012712</v>
      </c>
      <c r="C6647" s="8" t="s">
        <v>13</v>
      </c>
      <c r="D6647" s="9">
        <v>0</v>
      </c>
      <c r="E6647" s="8">
        <v>114</v>
      </c>
    </row>
    <row r="6648" s="3" customFormat="1" ht="18.75" spans="1:5">
      <c r="A6648" s="8" t="str">
        <f t="shared" si="116"/>
        <v>250029</v>
      </c>
      <c r="B6648" s="8" t="str">
        <f>"2561407012713"</f>
        <v>2561407012713</v>
      </c>
      <c r="C6648" s="8" t="s">
        <v>13</v>
      </c>
      <c r="D6648" s="9">
        <v>0</v>
      </c>
      <c r="E6648" s="8">
        <v>114</v>
      </c>
    </row>
    <row r="6649" s="3" customFormat="1" ht="18.75" spans="1:5">
      <c r="A6649" s="8" t="str">
        <f t="shared" si="116"/>
        <v>250029</v>
      </c>
      <c r="B6649" s="8" t="str">
        <f>"2561407012715"</f>
        <v>2561407012715</v>
      </c>
      <c r="C6649" s="8" t="s">
        <v>13</v>
      </c>
      <c r="D6649" s="9">
        <v>0</v>
      </c>
      <c r="E6649" s="8">
        <v>114</v>
      </c>
    </row>
    <row r="6650" s="3" customFormat="1" ht="18.75" spans="1:5">
      <c r="A6650" s="8" t="str">
        <f t="shared" si="116"/>
        <v>250029</v>
      </c>
      <c r="B6650" s="8" t="str">
        <f>"2561407012718"</f>
        <v>2561407012718</v>
      </c>
      <c r="C6650" s="8" t="s">
        <v>13</v>
      </c>
      <c r="D6650" s="9">
        <v>0</v>
      </c>
      <c r="E6650" s="8">
        <v>114</v>
      </c>
    </row>
    <row r="6651" s="3" customFormat="1" ht="18.75" spans="1:5">
      <c r="A6651" s="8" t="str">
        <f t="shared" si="116"/>
        <v>250029</v>
      </c>
      <c r="B6651" s="8" t="str">
        <f>"2561407012724"</f>
        <v>2561407012724</v>
      </c>
      <c r="C6651" s="8" t="s">
        <v>13</v>
      </c>
      <c r="D6651" s="9">
        <v>0</v>
      </c>
      <c r="E6651" s="8">
        <v>114</v>
      </c>
    </row>
    <row r="6652" s="3" customFormat="1" ht="18.75" spans="1:5">
      <c r="A6652" s="8" t="str">
        <f t="shared" si="116"/>
        <v>250029</v>
      </c>
      <c r="B6652" s="8" t="str">
        <f>"2561407012727"</f>
        <v>2561407012727</v>
      </c>
      <c r="C6652" s="8" t="s">
        <v>13</v>
      </c>
      <c r="D6652" s="9">
        <v>0</v>
      </c>
      <c r="E6652" s="8">
        <v>114</v>
      </c>
    </row>
    <row r="6653" s="3" customFormat="1" ht="18.75" spans="1:5">
      <c r="A6653" s="8" t="str">
        <f t="shared" si="116"/>
        <v>250029</v>
      </c>
      <c r="B6653" s="8" t="str">
        <f>"2561407012730"</f>
        <v>2561407012730</v>
      </c>
      <c r="C6653" s="8" t="s">
        <v>13</v>
      </c>
      <c r="D6653" s="9">
        <v>0</v>
      </c>
      <c r="E6653" s="8">
        <v>114</v>
      </c>
    </row>
    <row r="6654" s="3" customFormat="1" ht="18.75" spans="1:5">
      <c r="A6654" s="8" t="str">
        <f t="shared" si="116"/>
        <v>250029</v>
      </c>
      <c r="B6654" s="8" t="str">
        <f>"2561407012801"</f>
        <v>2561407012801</v>
      </c>
      <c r="C6654" s="8" t="s">
        <v>13</v>
      </c>
      <c r="D6654" s="9">
        <v>0</v>
      </c>
      <c r="E6654" s="8">
        <v>114</v>
      </c>
    </row>
    <row r="6655" s="3" customFormat="1" ht="18.75" spans="1:5">
      <c r="A6655" s="8" t="str">
        <f t="shared" si="116"/>
        <v>250029</v>
      </c>
      <c r="B6655" s="8" t="str">
        <f>"2561407012803"</f>
        <v>2561407012803</v>
      </c>
      <c r="C6655" s="8" t="s">
        <v>13</v>
      </c>
      <c r="D6655" s="9">
        <v>0</v>
      </c>
      <c r="E6655" s="8">
        <v>114</v>
      </c>
    </row>
    <row r="6656" s="3" customFormat="1" ht="18.75" spans="1:5">
      <c r="A6656" s="8" t="str">
        <f t="shared" si="116"/>
        <v>250029</v>
      </c>
      <c r="B6656" s="8" t="str">
        <f>"2561407012804"</f>
        <v>2561407012804</v>
      </c>
      <c r="C6656" s="8" t="s">
        <v>13</v>
      </c>
      <c r="D6656" s="9">
        <v>0</v>
      </c>
      <c r="E6656" s="8">
        <v>114</v>
      </c>
    </row>
    <row r="6657" s="3" customFormat="1" ht="18.75" spans="1:5">
      <c r="A6657" s="8" t="str">
        <f t="shared" si="116"/>
        <v>250029</v>
      </c>
      <c r="B6657" s="8" t="str">
        <f>"2561407012805"</f>
        <v>2561407012805</v>
      </c>
      <c r="C6657" s="8" t="s">
        <v>13</v>
      </c>
      <c r="D6657" s="9">
        <v>0</v>
      </c>
      <c r="E6657" s="8">
        <v>114</v>
      </c>
    </row>
    <row r="6658" s="3" customFormat="1" ht="18.75" spans="1:5">
      <c r="A6658" s="8" t="str">
        <f t="shared" si="116"/>
        <v>250029</v>
      </c>
      <c r="B6658" s="8" t="str">
        <f>"2561407012807"</f>
        <v>2561407012807</v>
      </c>
      <c r="C6658" s="8" t="s">
        <v>13</v>
      </c>
      <c r="D6658" s="9">
        <v>0</v>
      </c>
      <c r="E6658" s="8">
        <v>114</v>
      </c>
    </row>
    <row r="6659" s="3" customFormat="1" ht="18.75" spans="1:5">
      <c r="A6659" s="8" t="str">
        <f t="shared" si="116"/>
        <v>250029</v>
      </c>
      <c r="B6659" s="8" t="str">
        <f>"2561407012808"</f>
        <v>2561407012808</v>
      </c>
      <c r="C6659" s="8" t="s">
        <v>13</v>
      </c>
      <c r="D6659" s="9">
        <v>0</v>
      </c>
      <c r="E6659" s="8">
        <v>114</v>
      </c>
    </row>
    <row r="6660" s="3" customFormat="1" ht="18.75" spans="1:5">
      <c r="A6660" s="8" t="str">
        <f t="shared" si="116"/>
        <v>250029</v>
      </c>
      <c r="B6660" s="8" t="str">
        <f>"2561407012809"</f>
        <v>2561407012809</v>
      </c>
      <c r="C6660" s="8" t="s">
        <v>13</v>
      </c>
      <c r="D6660" s="9">
        <v>0</v>
      </c>
      <c r="E6660" s="8">
        <v>114</v>
      </c>
    </row>
    <row r="6661" s="3" customFormat="1" ht="18.75" spans="1:5">
      <c r="A6661" s="8" t="str">
        <f t="shared" si="116"/>
        <v>250029</v>
      </c>
      <c r="B6661" s="8" t="str">
        <f>"2561407012812"</f>
        <v>2561407012812</v>
      </c>
      <c r="C6661" s="8" t="s">
        <v>13</v>
      </c>
      <c r="D6661" s="9">
        <v>0</v>
      </c>
      <c r="E6661" s="8">
        <v>114</v>
      </c>
    </row>
    <row r="6662" s="3" customFormat="1" ht="18.75" spans="1:5">
      <c r="A6662" s="8" t="str">
        <f t="shared" si="116"/>
        <v>250029</v>
      </c>
      <c r="B6662" s="8" t="str">
        <f>"2561407012816"</f>
        <v>2561407012816</v>
      </c>
      <c r="C6662" s="8" t="s">
        <v>13</v>
      </c>
      <c r="D6662" s="9">
        <v>0</v>
      </c>
      <c r="E6662" s="8">
        <v>114</v>
      </c>
    </row>
    <row r="6663" s="3" customFormat="1" ht="18.75" spans="1:5">
      <c r="A6663" s="8" t="str">
        <f t="shared" si="116"/>
        <v>250029</v>
      </c>
      <c r="B6663" s="8" t="str">
        <f>"2561407012820"</f>
        <v>2561407012820</v>
      </c>
      <c r="C6663" s="8" t="s">
        <v>13</v>
      </c>
      <c r="D6663" s="9">
        <v>0</v>
      </c>
      <c r="E6663" s="8">
        <v>114</v>
      </c>
    </row>
    <row r="6664" s="3" customFormat="1" ht="18.75" spans="1:5">
      <c r="A6664" s="8" t="str">
        <f t="shared" si="116"/>
        <v>250029</v>
      </c>
      <c r="B6664" s="8" t="str">
        <f>"2561407012821"</f>
        <v>2561407012821</v>
      </c>
      <c r="C6664" s="8" t="s">
        <v>13</v>
      </c>
      <c r="D6664" s="9">
        <v>0</v>
      </c>
      <c r="E6664" s="8">
        <v>114</v>
      </c>
    </row>
    <row r="6665" s="3" customFormat="1" ht="18.75" spans="1:5">
      <c r="A6665" s="8" t="str">
        <f t="shared" si="116"/>
        <v>250029</v>
      </c>
      <c r="B6665" s="8" t="str">
        <f>"2561407012825"</f>
        <v>2561407012825</v>
      </c>
      <c r="C6665" s="8" t="s">
        <v>13</v>
      </c>
      <c r="D6665" s="9">
        <v>0</v>
      </c>
      <c r="E6665" s="8">
        <v>114</v>
      </c>
    </row>
    <row r="6666" s="3" customFormat="1" ht="18.75" spans="1:5">
      <c r="A6666" s="8" t="str">
        <f t="shared" si="116"/>
        <v>250029</v>
      </c>
      <c r="B6666" s="8" t="str">
        <f>"2561407012826"</f>
        <v>2561407012826</v>
      </c>
      <c r="C6666" s="8" t="s">
        <v>13</v>
      </c>
      <c r="D6666" s="9">
        <v>0</v>
      </c>
      <c r="E6666" s="8">
        <v>114</v>
      </c>
    </row>
    <row r="6667" s="3" customFormat="1" ht="18.75" spans="1:5">
      <c r="A6667" s="8" t="str">
        <f t="shared" si="116"/>
        <v>250029</v>
      </c>
      <c r="B6667" s="8" t="str">
        <f>"2561407012827"</f>
        <v>2561407012827</v>
      </c>
      <c r="C6667" s="8" t="s">
        <v>13</v>
      </c>
      <c r="D6667" s="9">
        <v>0</v>
      </c>
      <c r="E6667" s="8">
        <v>114</v>
      </c>
    </row>
    <row r="6668" s="3" customFormat="1" ht="18.75" spans="1:5">
      <c r="A6668" s="8" t="str">
        <f t="shared" si="116"/>
        <v>250029</v>
      </c>
      <c r="B6668" s="8" t="str">
        <f>"2561407012829"</f>
        <v>2561407012829</v>
      </c>
      <c r="C6668" s="8" t="s">
        <v>13</v>
      </c>
      <c r="D6668" s="9">
        <v>0</v>
      </c>
      <c r="E6668" s="8">
        <v>114</v>
      </c>
    </row>
    <row r="6669" s="3" customFormat="1" ht="18.75" spans="1:5">
      <c r="A6669" s="8" t="str">
        <f t="shared" si="116"/>
        <v>250029</v>
      </c>
      <c r="B6669" s="8" t="str">
        <f>"2561407012830"</f>
        <v>2561407012830</v>
      </c>
      <c r="C6669" s="8" t="s">
        <v>13</v>
      </c>
      <c r="D6669" s="9">
        <v>0</v>
      </c>
      <c r="E6669" s="8">
        <v>114</v>
      </c>
    </row>
    <row r="6670" s="3" customFormat="1" ht="18.75" spans="1:5">
      <c r="A6670" s="8" t="str">
        <f t="shared" si="116"/>
        <v>250029</v>
      </c>
      <c r="B6670" s="8" t="str">
        <f>"2561407012901"</f>
        <v>2561407012901</v>
      </c>
      <c r="C6670" s="8" t="s">
        <v>13</v>
      </c>
      <c r="D6670" s="9">
        <v>0</v>
      </c>
      <c r="E6670" s="8">
        <v>114</v>
      </c>
    </row>
    <row r="6671" s="3" customFormat="1" ht="18.75" spans="1:5">
      <c r="A6671" s="8" t="str">
        <f t="shared" si="116"/>
        <v>250029</v>
      </c>
      <c r="B6671" s="8" t="str">
        <f>"2561407012902"</f>
        <v>2561407012902</v>
      </c>
      <c r="C6671" s="8" t="s">
        <v>13</v>
      </c>
      <c r="D6671" s="9">
        <v>0</v>
      </c>
      <c r="E6671" s="8">
        <v>114</v>
      </c>
    </row>
    <row r="6672" s="3" customFormat="1" ht="18.75" spans="1:5">
      <c r="A6672" s="8" t="str">
        <f t="shared" si="116"/>
        <v>250029</v>
      </c>
      <c r="B6672" s="8" t="str">
        <f>"2561407012903"</f>
        <v>2561407012903</v>
      </c>
      <c r="C6672" s="8" t="s">
        <v>13</v>
      </c>
      <c r="D6672" s="9">
        <v>0</v>
      </c>
      <c r="E6672" s="8">
        <v>114</v>
      </c>
    </row>
    <row r="6673" s="3" customFormat="1" ht="18.75" spans="1:5">
      <c r="A6673" s="8" t="str">
        <f t="shared" si="116"/>
        <v>250029</v>
      </c>
      <c r="B6673" s="8" t="str">
        <f>"2561407012904"</f>
        <v>2561407012904</v>
      </c>
      <c r="C6673" s="8" t="s">
        <v>13</v>
      </c>
      <c r="D6673" s="9">
        <v>0</v>
      </c>
      <c r="E6673" s="8">
        <v>114</v>
      </c>
    </row>
    <row r="6674" s="3" customFormat="1" ht="18.75" spans="1:5">
      <c r="A6674" s="8" t="str">
        <f t="shared" si="116"/>
        <v>250029</v>
      </c>
      <c r="B6674" s="8" t="str">
        <f>"2561407012907"</f>
        <v>2561407012907</v>
      </c>
      <c r="C6674" s="8" t="s">
        <v>13</v>
      </c>
      <c r="D6674" s="9">
        <v>0</v>
      </c>
      <c r="E6674" s="8">
        <v>114</v>
      </c>
    </row>
    <row r="6675" s="3" customFormat="1" ht="18.75" spans="1:5">
      <c r="A6675" s="8" t="str">
        <f t="shared" si="116"/>
        <v>250029</v>
      </c>
      <c r="B6675" s="8" t="str">
        <f>"2561407012908"</f>
        <v>2561407012908</v>
      </c>
      <c r="C6675" s="8" t="s">
        <v>13</v>
      </c>
      <c r="D6675" s="9">
        <v>0</v>
      </c>
      <c r="E6675" s="8">
        <v>114</v>
      </c>
    </row>
    <row r="6676" s="3" customFormat="1" ht="18.75" spans="1:5">
      <c r="A6676" s="8" t="str">
        <f t="shared" si="116"/>
        <v>250029</v>
      </c>
      <c r="B6676" s="8" t="str">
        <f>"2561407012910"</f>
        <v>2561407012910</v>
      </c>
      <c r="C6676" s="8" t="s">
        <v>13</v>
      </c>
      <c r="D6676" s="9">
        <v>0</v>
      </c>
      <c r="E6676" s="8">
        <v>114</v>
      </c>
    </row>
    <row r="6677" s="3" customFormat="1" ht="18.75" spans="1:5">
      <c r="A6677" s="8" t="str">
        <f t="shared" si="116"/>
        <v>250029</v>
      </c>
      <c r="B6677" s="8" t="str">
        <f>"2561407012913"</f>
        <v>2561407012913</v>
      </c>
      <c r="C6677" s="8" t="s">
        <v>13</v>
      </c>
      <c r="D6677" s="9">
        <v>0</v>
      </c>
      <c r="E6677" s="8">
        <v>114</v>
      </c>
    </row>
    <row r="6678" s="3" customFormat="1" ht="18.75" spans="1:5">
      <c r="A6678" s="8" t="str">
        <f t="shared" si="116"/>
        <v>250029</v>
      </c>
      <c r="B6678" s="8" t="str">
        <f>"2561407012917"</f>
        <v>2561407012917</v>
      </c>
      <c r="C6678" s="8" t="s">
        <v>13</v>
      </c>
      <c r="D6678" s="9">
        <v>0</v>
      </c>
      <c r="E6678" s="8">
        <v>114</v>
      </c>
    </row>
    <row r="6679" s="3" customFormat="1" ht="18.75" spans="1:5">
      <c r="A6679" s="8" t="str">
        <f t="shared" si="116"/>
        <v>250029</v>
      </c>
      <c r="B6679" s="8" t="str">
        <f>"2561407012918"</f>
        <v>2561407012918</v>
      </c>
      <c r="C6679" s="8" t="s">
        <v>13</v>
      </c>
      <c r="D6679" s="9">
        <v>0</v>
      </c>
      <c r="E6679" s="8">
        <v>114</v>
      </c>
    </row>
    <row r="6680" s="3" customFormat="1" ht="18.75" spans="1:5">
      <c r="A6680" s="8" t="str">
        <f t="shared" si="116"/>
        <v>250029</v>
      </c>
      <c r="B6680" s="8" t="str">
        <f>"2561407012921"</f>
        <v>2561407012921</v>
      </c>
      <c r="C6680" s="8" t="s">
        <v>13</v>
      </c>
      <c r="D6680" s="9">
        <v>0</v>
      </c>
      <c r="E6680" s="8">
        <v>114</v>
      </c>
    </row>
    <row r="6681" s="3" customFormat="1" ht="18.75" spans="1:5">
      <c r="A6681" s="8" t="str">
        <f t="shared" ref="A6681:A6691" si="117">"250029"</f>
        <v>250029</v>
      </c>
      <c r="B6681" s="8" t="str">
        <f>"2561407012922"</f>
        <v>2561407012922</v>
      </c>
      <c r="C6681" s="8" t="s">
        <v>13</v>
      </c>
      <c r="D6681" s="9">
        <v>0</v>
      </c>
      <c r="E6681" s="8">
        <v>114</v>
      </c>
    </row>
    <row r="6682" s="3" customFormat="1" ht="18.75" spans="1:5">
      <c r="A6682" s="8" t="str">
        <f t="shared" si="117"/>
        <v>250029</v>
      </c>
      <c r="B6682" s="8" t="str">
        <f>"2561407012927"</f>
        <v>2561407012927</v>
      </c>
      <c r="C6682" s="8" t="s">
        <v>13</v>
      </c>
      <c r="D6682" s="9">
        <v>0</v>
      </c>
      <c r="E6682" s="8">
        <v>114</v>
      </c>
    </row>
    <row r="6683" s="3" customFormat="1" ht="18.75" spans="1:5">
      <c r="A6683" s="8" t="str">
        <f t="shared" si="117"/>
        <v>250029</v>
      </c>
      <c r="B6683" s="8" t="str">
        <f>"2561407012929"</f>
        <v>2561407012929</v>
      </c>
      <c r="C6683" s="8" t="s">
        <v>13</v>
      </c>
      <c r="D6683" s="9">
        <v>0</v>
      </c>
      <c r="E6683" s="8">
        <v>114</v>
      </c>
    </row>
    <row r="6684" s="3" customFormat="1" ht="18.75" spans="1:5">
      <c r="A6684" s="8" t="str">
        <f t="shared" si="117"/>
        <v>250029</v>
      </c>
      <c r="B6684" s="8" t="str">
        <f>"2561407013001"</f>
        <v>2561407013001</v>
      </c>
      <c r="C6684" s="8" t="s">
        <v>13</v>
      </c>
      <c r="D6684" s="9">
        <v>0</v>
      </c>
      <c r="E6684" s="8">
        <v>114</v>
      </c>
    </row>
    <row r="6685" s="3" customFormat="1" ht="18.75" spans="1:5">
      <c r="A6685" s="8" t="str">
        <f t="shared" si="117"/>
        <v>250029</v>
      </c>
      <c r="B6685" s="8" t="str">
        <f>"2561407013004"</f>
        <v>2561407013004</v>
      </c>
      <c r="C6685" s="8" t="s">
        <v>13</v>
      </c>
      <c r="D6685" s="9">
        <v>0</v>
      </c>
      <c r="E6685" s="8">
        <v>114</v>
      </c>
    </row>
    <row r="6686" s="3" customFormat="1" ht="18.75" spans="1:5">
      <c r="A6686" s="8" t="str">
        <f t="shared" si="117"/>
        <v>250029</v>
      </c>
      <c r="B6686" s="8" t="str">
        <f>"2561407013005"</f>
        <v>2561407013005</v>
      </c>
      <c r="C6686" s="8" t="s">
        <v>13</v>
      </c>
      <c r="D6686" s="9">
        <v>0</v>
      </c>
      <c r="E6686" s="8">
        <v>114</v>
      </c>
    </row>
    <row r="6687" s="3" customFormat="1" ht="18.75" spans="1:5">
      <c r="A6687" s="8" t="str">
        <f t="shared" si="117"/>
        <v>250029</v>
      </c>
      <c r="B6687" s="8" t="str">
        <f>"2561407013006"</f>
        <v>2561407013006</v>
      </c>
      <c r="C6687" s="8" t="s">
        <v>13</v>
      </c>
      <c r="D6687" s="9">
        <v>0</v>
      </c>
      <c r="E6687" s="8">
        <v>114</v>
      </c>
    </row>
    <row r="6688" s="3" customFormat="1" ht="18.75" spans="1:5">
      <c r="A6688" s="8" t="str">
        <f t="shared" si="117"/>
        <v>250029</v>
      </c>
      <c r="B6688" s="8" t="str">
        <f>"2561407013008"</f>
        <v>2561407013008</v>
      </c>
      <c r="C6688" s="8" t="s">
        <v>13</v>
      </c>
      <c r="D6688" s="9">
        <v>0</v>
      </c>
      <c r="E6688" s="8">
        <v>114</v>
      </c>
    </row>
    <row r="6689" s="3" customFormat="1" ht="18.75" spans="1:5">
      <c r="A6689" s="8" t="str">
        <f t="shared" si="117"/>
        <v>250029</v>
      </c>
      <c r="B6689" s="8" t="str">
        <f>"2561407013010"</f>
        <v>2561407013010</v>
      </c>
      <c r="C6689" s="8" t="s">
        <v>13</v>
      </c>
      <c r="D6689" s="9">
        <v>0</v>
      </c>
      <c r="E6689" s="8">
        <v>114</v>
      </c>
    </row>
    <row r="6690" s="3" customFormat="1" ht="18.75" spans="1:5">
      <c r="A6690" s="8" t="str">
        <f t="shared" si="117"/>
        <v>250029</v>
      </c>
      <c r="B6690" s="8" t="str">
        <f>"2561407013012"</f>
        <v>2561407013012</v>
      </c>
      <c r="C6690" s="8" t="s">
        <v>13</v>
      </c>
      <c r="D6690" s="9">
        <v>0</v>
      </c>
      <c r="E6690" s="8">
        <v>114</v>
      </c>
    </row>
    <row r="6691" s="3" customFormat="1" ht="18.75" spans="1:5">
      <c r="A6691" s="8" t="str">
        <f t="shared" si="117"/>
        <v>250029</v>
      </c>
      <c r="B6691" s="8" t="str">
        <f>"2561407013015"</f>
        <v>2561407013015</v>
      </c>
      <c r="C6691" s="8" t="s">
        <v>13</v>
      </c>
      <c r="D6691" s="9">
        <v>0</v>
      </c>
      <c r="E6691" s="8">
        <v>114</v>
      </c>
    </row>
    <row r="6692" s="3" customFormat="1" ht="18.75" spans="1:5">
      <c r="A6692" s="8" t="str">
        <f t="shared" ref="A6692:A6755" si="118">"250030"</f>
        <v>250030</v>
      </c>
      <c r="B6692" s="8" t="str">
        <f>"2561408010302"</f>
        <v>2561408010302</v>
      </c>
      <c r="C6692" s="8" t="s">
        <v>14</v>
      </c>
      <c r="D6692" s="9">
        <v>68.54</v>
      </c>
      <c r="E6692" s="8">
        <v>1</v>
      </c>
    </row>
    <row r="6693" s="3" customFormat="1" ht="18.75" spans="1:5">
      <c r="A6693" s="8" t="str">
        <f t="shared" si="118"/>
        <v>250030</v>
      </c>
      <c r="B6693" s="8" t="str">
        <f>"2561408010211"</f>
        <v>2561408010211</v>
      </c>
      <c r="C6693" s="8" t="s">
        <v>14</v>
      </c>
      <c r="D6693" s="9">
        <v>65.99</v>
      </c>
      <c r="E6693" s="8">
        <v>2</v>
      </c>
    </row>
    <row r="6694" s="3" customFormat="1" ht="18.75" spans="1:5">
      <c r="A6694" s="8" t="str">
        <f t="shared" si="118"/>
        <v>250030</v>
      </c>
      <c r="B6694" s="8" t="str">
        <f>"2561408010318"</f>
        <v>2561408010318</v>
      </c>
      <c r="C6694" s="8" t="s">
        <v>14</v>
      </c>
      <c r="D6694" s="9">
        <v>65.21</v>
      </c>
      <c r="E6694" s="8">
        <v>3</v>
      </c>
    </row>
    <row r="6695" s="3" customFormat="1" ht="18.75" spans="1:5">
      <c r="A6695" s="8" t="str">
        <f t="shared" si="118"/>
        <v>250030</v>
      </c>
      <c r="B6695" s="8" t="str">
        <f>"2561408010104"</f>
        <v>2561408010104</v>
      </c>
      <c r="C6695" s="8" t="s">
        <v>14</v>
      </c>
      <c r="D6695" s="9">
        <v>64.79</v>
      </c>
      <c r="E6695" s="8">
        <v>4</v>
      </c>
    </row>
    <row r="6696" s="3" customFormat="1" ht="18.75" spans="1:5">
      <c r="A6696" s="8" t="str">
        <f t="shared" si="118"/>
        <v>250030</v>
      </c>
      <c r="B6696" s="8" t="str">
        <f>"2561408010203"</f>
        <v>2561408010203</v>
      </c>
      <c r="C6696" s="8" t="s">
        <v>14</v>
      </c>
      <c r="D6696" s="9">
        <v>64.72</v>
      </c>
      <c r="E6696" s="8">
        <v>5</v>
      </c>
    </row>
    <row r="6697" s="3" customFormat="1" ht="18.75" spans="1:5">
      <c r="A6697" s="8" t="str">
        <f t="shared" si="118"/>
        <v>250030</v>
      </c>
      <c r="B6697" s="8" t="str">
        <f>"2561408010213"</f>
        <v>2561408010213</v>
      </c>
      <c r="C6697" s="8" t="s">
        <v>14</v>
      </c>
      <c r="D6697" s="9">
        <v>64.62</v>
      </c>
      <c r="E6697" s="8">
        <v>6</v>
      </c>
    </row>
    <row r="6698" s="3" customFormat="1" ht="18.75" spans="1:5">
      <c r="A6698" s="8" t="str">
        <f t="shared" si="118"/>
        <v>250030</v>
      </c>
      <c r="B6698" s="8" t="str">
        <f>"2561408010110"</f>
        <v>2561408010110</v>
      </c>
      <c r="C6698" s="8" t="s">
        <v>14</v>
      </c>
      <c r="D6698" s="9">
        <v>64.57</v>
      </c>
      <c r="E6698" s="8">
        <v>7</v>
      </c>
    </row>
    <row r="6699" s="3" customFormat="1" ht="18.75" spans="1:5">
      <c r="A6699" s="8" t="str">
        <f t="shared" si="118"/>
        <v>250030</v>
      </c>
      <c r="B6699" s="8" t="str">
        <f>"2561408010322"</f>
        <v>2561408010322</v>
      </c>
      <c r="C6699" s="8" t="s">
        <v>14</v>
      </c>
      <c r="D6699" s="9">
        <v>63.88</v>
      </c>
      <c r="E6699" s="8">
        <v>8</v>
      </c>
    </row>
    <row r="6700" s="3" customFormat="1" ht="18.75" spans="1:5">
      <c r="A6700" s="8" t="str">
        <f t="shared" si="118"/>
        <v>250030</v>
      </c>
      <c r="B6700" s="8" t="str">
        <f>"2561408010114"</f>
        <v>2561408010114</v>
      </c>
      <c r="C6700" s="8" t="s">
        <v>14</v>
      </c>
      <c r="D6700" s="9">
        <v>62.87</v>
      </c>
      <c r="E6700" s="8">
        <v>9</v>
      </c>
    </row>
    <row r="6701" s="3" customFormat="1" ht="18.75" spans="1:5">
      <c r="A6701" s="8" t="str">
        <f t="shared" si="118"/>
        <v>250030</v>
      </c>
      <c r="B6701" s="8" t="str">
        <f>"2561408010111"</f>
        <v>2561408010111</v>
      </c>
      <c r="C6701" s="8" t="s">
        <v>14</v>
      </c>
      <c r="D6701" s="9">
        <v>61.68</v>
      </c>
      <c r="E6701" s="8">
        <v>10</v>
      </c>
    </row>
    <row r="6702" s="3" customFormat="1" ht="18.75" spans="1:5">
      <c r="A6702" s="8" t="str">
        <f t="shared" si="118"/>
        <v>250030</v>
      </c>
      <c r="B6702" s="8" t="str">
        <f>"2561408010126"</f>
        <v>2561408010126</v>
      </c>
      <c r="C6702" s="8" t="s">
        <v>14</v>
      </c>
      <c r="D6702" s="9">
        <v>61.41</v>
      </c>
      <c r="E6702" s="8">
        <v>11</v>
      </c>
    </row>
    <row r="6703" s="3" customFormat="1" ht="18.75" spans="1:5">
      <c r="A6703" s="8" t="str">
        <f t="shared" si="118"/>
        <v>250030</v>
      </c>
      <c r="B6703" s="8" t="str">
        <f>"2561408010106"</f>
        <v>2561408010106</v>
      </c>
      <c r="C6703" s="8" t="s">
        <v>14</v>
      </c>
      <c r="D6703" s="9">
        <v>61.31</v>
      </c>
      <c r="E6703" s="8">
        <v>12</v>
      </c>
    </row>
    <row r="6704" s="3" customFormat="1" ht="18.75" spans="1:5">
      <c r="A6704" s="8" t="str">
        <f t="shared" si="118"/>
        <v>250030</v>
      </c>
      <c r="B6704" s="8" t="str">
        <f>"2561408010219"</f>
        <v>2561408010219</v>
      </c>
      <c r="C6704" s="8" t="s">
        <v>14</v>
      </c>
      <c r="D6704" s="9">
        <v>61.11</v>
      </c>
      <c r="E6704" s="8">
        <v>13</v>
      </c>
    </row>
    <row r="6705" s="3" customFormat="1" ht="18.75" spans="1:5">
      <c r="A6705" s="8" t="str">
        <f t="shared" si="118"/>
        <v>250030</v>
      </c>
      <c r="B6705" s="8" t="str">
        <f>"2561408010120"</f>
        <v>2561408010120</v>
      </c>
      <c r="C6705" s="8" t="s">
        <v>14</v>
      </c>
      <c r="D6705" s="9">
        <v>60.76</v>
      </c>
      <c r="E6705" s="8">
        <v>14</v>
      </c>
    </row>
    <row r="6706" s="3" customFormat="1" ht="18.75" spans="1:5">
      <c r="A6706" s="8" t="str">
        <f t="shared" si="118"/>
        <v>250030</v>
      </c>
      <c r="B6706" s="8" t="str">
        <f>"2561408010303"</f>
        <v>2561408010303</v>
      </c>
      <c r="C6706" s="8" t="s">
        <v>14</v>
      </c>
      <c r="D6706" s="9">
        <v>60.41</v>
      </c>
      <c r="E6706" s="8">
        <v>15</v>
      </c>
    </row>
    <row r="6707" s="3" customFormat="1" ht="18.75" spans="1:5">
      <c r="A6707" s="8" t="str">
        <f t="shared" si="118"/>
        <v>250030</v>
      </c>
      <c r="B6707" s="8" t="str">
        <f>"2561408010207"</f>
        <v>2561408010207</v>
      </c>
      <c r="C6707" s="8" t="s">
        <v>14</v>
      </c>
      <c r="D6707" s="9">
        <v>60.18</v>
      </c>
      <c r="E6707" s="8">
        <v>16</v>
      </c>
    </row>
    <row r="6708" s="3" customFormat="1" ht="18.75" spans="1:5">
      <c r="A6708" s="8" t="str">
        <f t="shared" si="118"/>
        <v>250030</v>
      </c>
      <c r="B6708" s="8" t="str">
        <f>"2561408010201"</f>
        <v>2561408010201</v>
      </c>
      <c r="C6708" s="8" t="s">
        <v>14</v>
      </c>
      <c r="D6708" s="9">
        <v>59.96</v>
      </c>
      <c r="E6708" s="8">
        <v>17</v>
      </c>
    </row>
    <row r="6709" s="3" customFormat="1" ht="18.75" spans="1:5">
      <c r="A6709" s="8" t="str">
        <f t="shared" si="118"/>
        <v>250030</v>
      </c>
      <c r="B6709" s="8" t="str">
        <f>"2561408010119"</f>
        <v>2561408010119</v>
      </c>
      <c r="C6709" s="8" t="s">
        <v>14</v>
      </c>
      <c r="D6709" s="9">
        <v>59.6</v>
      </c>
      <c r="E6709" s="8">
        <v>18</v>
      </c>
    </row>
    <row r="6710" s="3" customFormat="1" ht="18.75" spans="1:5">
      <c r="A6710" s="8" t="str">
        <f t="shared" si="118"/>
        <v>250030</v>
      </c>
      <c r="B6710" s="8" t="str">
        <f>"2561408010128"</f>
        <v>2561408010128</v>
      </c>
      <c r="C6710" s="8" t="s">
        <v>14</v>
      </c>
      <c r="D6710" s="9">
        <v>59.39</v>
      </c>
      <c r="E6710" s="8">
        <v>19</v>
      </c>
    </row>
    <row r="6711" s="3" customFormat="1" ht="18.75" spans="1:5">
      <c r="A6711" s="8" t="str">
        <f t="shared" si="118"/>
        <v>250030</v>
      </c>
      <c r="B6711" s="8" t="str">
        <f>"2561408010209"</f>
        <v>2561408010209</v>
      </c>
      <c r="C6711" s="8" t="s">
        <v>14</v>
      </c>
      <c r="D6711" s="9">
        <v>59.39</v>
      </c>
      <c r="E6711" s="8">
        <v>19</v>
      </c>
    </row>
    <row r="6712" s="3" customFormat="1" ht="18.75" spans="1:5">
      <c r="A6712" s="8" t="str">
        <f t="shared" si="118"/>
        <v>250030</v>
      </c>
      <c r="B6712" s="8" t="str">
        <f>"2561408010220"</f>
        <v>2561408010220</v>
      </c>
      <c r="C6712" s="8" t="s">
        <v>14</v>
      </c>
      <c r="D6712" s="9">
        <v>58.98</v>
      </c>
      <c r="E6712" s="8">
        <v>21</v>
      </c>
    </row>
    <row r="6713" s="3" customFormat="1" ht="18.75" spans="1:5">
      <c r="A6713" s="8" t="str">
        <f t="shared" si="118"/>
        <v>250030</v>
      </c>
      <c r="B6713" s="8" t="str">
        <f>"2561408010206"</f>
        <v>2561408010206</v>
      </c>
      <c r="C6713" s="8" t="s">
        <v>14</v>
      </c>
      <c r="D6713" s="9">
        <v>58.95</v>
      </c>
      <c r="E6713" s="8">
        <v>22</v>
      </c>
    </row>
    <row r="6714" s="3" customFormat="1" ht="18.75" spans="1:5">
      <c r="A6714" s="8" t="str">
        <f t="shared" si="118"/>
        <v>250030</v>
      </c>
      <c r="B6714" s="8" t="str">
        <f>"2561408010112"</f>
        <v>2561408010112</v>
      </c>
      <c r="C6714" s="8" t="s">
        <v>14</v>
      </c>
      <c r="D6714" s="9">
        <v>58.79</v>
      </c>
      <c r="E6714" s="8">
        <v>23</v>
      </c>
    </row>
    <row r="6715" s="3" customFormat="1" ht="18.75" spans="1:5">
      <c r="A6715" s="8" t="str">
        <f t="shared" si="118"/>
        <v>250030</v>
      </c>
      <c r="B6715" s="8" t="str">
        <f>"2561408010129"</f>
        <v>2561408010129</v>
      </c>
      <c r="C6715" s="8" t="s">
        <v>14</v>
      </c>
      <c r="D6715" s="9">
        <v>58.59</v>
      </c>
      <c r="E6715" s="8">
        <v>24</v>
      </c>
    </row>
    <row r="6716" s="3" customFormat="1" ht="18.75" spans="1:5">
      <c r="A6716" s="8" t="str">
        <f t="shared" si="118"/>
        <v>250030</v>
      </c>
      <c r="B6716" s="8" t="str">
        <f>"2561408010107"</f>
        <v>2561408010107</v>
      </c>
      <c r="C6716" s="8" t="s">
        <v>14</v>
      </c>
      <c r="D6716" s="9">
        <v>58.21</v>
      </c>
      <c r="E6716" s="8">
        <v>25</v>
      </c>
    </row>
    <row r="6717" s="3" customFormat="1" ht="18.75" spans="1:5">
      <c r="A6717" s="8" t="str">
        <f t="shared" si="118"/>
        <v>250030</v>
      </c>
      <c r="B6717" s="8" t="str">
        <f>"2561408010105"</f>
        <v>2561408010105</v>
      </c>
      <c r="C6717" s="8" t="s">
        <v>14</v>
      </c>
      <c r="D6717" s="9">
        <v>58.05</v>
      </c>
      <c r="E6717" s="8">
        <v>26</v>
      </c>
    </row>
    <row r="6718" s="3" customFormat="1" ht="18.75" spans="1:5">
      <c r="A6718" s="8" t="str">
        <f t="shared" si="118"/>
        <v>250030</v>
      </c>
      <c r="B6718" s="8" t="str">
        <f>"2561408010307"</f>
        <v>2561408010307</v>
      </c>
      <c r="C6718" s="8" t="s">
        <v>14</v>
      </c>
      <c r="D6718" s="9">
        <v>57.98</v>
      </c>
      <c r="E6718" s="8">
        <v>27</v>
      </c>
    </row>
    <row r="6719" s="3" customFormat="1" ht="18.75" spans="1:5">
      <c r="A6719" s="8" t="str">
        <f t="shared" si="118"/>
        <v>250030</v>
      </c>
      <c r="B6719" s="8" t="str">
        <f>"2561408010324"</f>
        <v>2561408010324</v>
      </c>
      <c r="C6719" s="8" t="s">
        <v>14</v>
      </c>
      <c r="D6719" s="9">
        <v>57.18</v>
      </c>
      <c r="E6719" s="8">
        <v>28</v>
      </c>
    </row>
    <row r="6720" s="3" customFormat="1" ht="18.75" spans="1:5">
      <c r="A6720" s="8" t="str">
        <f t="shared" si="118"/>
        <v>250030</v>
      </c>
      <c r="B6720" s="8" t="str">
        <f>"2561408010214"</f>
        <v>2561408010214</v>
      </c>
      <c r="C6720" s="8" t="s">
        <v>14</v>
      </c>
      <c r="D6720" s="9">
        <v>56.78</v>
      </c>
      <c r="E6720" s="8">
        <v>29</v>
      </c>
    </row>
    <row r="6721" s="3" customFormat="1" ht="18.75" spans="1:5">
      <c r="A6721" s="8" t="str">
        <f t="shared" si="118"/>
        <v>250030</v>
      </c>
      <c r="B6721" s="8" t="str">
        <f>"2561408010123"</f>
        <v>2561408010123</v>
      </c>
      <c r="C6721" s="8" t="s">
        <v>14</v>
      </c>
      <c r="D6721" s="9">
        <v>56.55</v>
      </c>
      <c r="E6721" s="8">
        <v>30</v>
      </c>
    </row>
    <row r="6722" s="3" customFormat="1" ht="18.75" spans="1:5">
      <c r="A6722" s="8" t="str">
        <f t="shared" si="118"/>
        <v>250030</v>
      </c>
      <c r="B6722" s="8" t="str">
        <f>"2561408010130"</f>
        <v>2561408010130</v>
      </c>
      <c r="C6722" s="8" t="s">
        <v>14</v>
      </c>
      <c r="D6722" s="9">
        <v>56.29</v>
      </c>
      <c r="E6722" s="8">
        <v>31</v>
      </c>
    </row>
    <row r="6723" s="3" customFormat="1" ht="18.75" spans="1:5">
      <c r="A6723" s="8" t="str">
        <f t="shared" si="118"/>
        <v>250030</v>
      </c>
      <c r="B6723" s="8" t="str">
        <f>"2561408010305"</f>
        <v>2561408010305</v>
      </c>
      <c r="C6723" s="8" t="s">
        <v>14</v>
      </c>
      <c r="D6723" s="9">
        <v>56.23</v>
      </c>
      <c r="E6723" s="8">
        <v>32</v>
      </c>
    </row>
    <row r="6724" s="3" customFormat="1" ht="18.75" spans="1:5">
      <c r="A6724" s="8" t="str">
        <f t="shared" si="118"/>
        <v>250030</v>
      </c>
      <c r="B6724" s="8" t="str">
        <f>"2561408010127"</f>
        <v>2561408010127</v>
      </c>
      <c r="C6724" s="8" t="s">
        <v>14</v>
      </c>
      <c r="D6724" s="9">
        <v>55.97</v>
      </c>
      <c r="E6724" s="8">
        <v>33</v>
      </c>
    </row>
    <row r="6725" s="3" customFormat="1" ht="18.75" spans="1:5">
      <c r="A6725" s="8" t="str">
        <f t="shared" si="118"/>
        <v>250030</v>
      </c>
      <c r="B6725" s="8" t="str">
        <f>"2561408010215"</f>
        <v>2561408010215</v>
      </c>
      <c r="C6725" s="8" t="s">
        <v>14</v>
      </c>
      <c r="D6725" s="9">
        <v>55.96</v>
      </c>
      <c r="E6725" s="8">
        <v>34</v>
      </c>
    </row>
    <row r="6726" s="3" customFormat="1" ht="18.75" spans="1:5">
      <c r="A6726" s="8" t="str">
        <f t="shared" si="118"/>
        <v>250030</v>
      </c>
      <c r="B6726" s="8" t="str">
        <f>"2561408010217"</f>
        <v>2561408010217</v>
      </c>
      <c r="C6726" s="8" t="s">
        <v>14</v>
      </c>
      <c r="D6726" s="9">
        <v>55.57</v>
      </c>
      <c r="E6726" s="8">
        <v>35</v>
      </c>
    </row>
    <row r="6727" s="3" customFormat="1" ht="18.75" spans="1:5">
      <c r="A6727" s="8" t="str">
        <f t="shared" si="118"/>
        <v>250030</v>
      </c>
      <c r="B6727" s="8" t="str">
        <f>"2561408010226"</f>
        <v>2561408010226</v>
      </c>
      <c r="C6727" s="8" t="s">
        <v>14</v>
      </c>
      <c r="D6727" s="9">
        <v>55.35</v>
      </c>
      <c r="E6727" s="8">
        <v>36</v>
      </c>
    </row>
    <row r="6728" s="3" customFormat="1" ht="18.75" spans="1:5">
      <c r="A6728" s="8" t="str">
        <f t="shared" si="118"/>
        <v>250030</v>
      </c>
      <c r="B6728" s="8" t="str">
        <f>"2561408010103"</f>
        <v>2561408010103</v>
      </c>
      <c r="C6728" s="8" t="s">
        <v>14</v>
      </c>
      <c r="D6728" s="9">
        <v>55.22</v>
      </c>
      <c r="E6728" s="8">
        <v>37</v>
      </c>
    </row>
    <row r="6729" s="3" customFormat="1" ht="18.75" spans="1:5">
      <c r="A6729" s="8" t="str">
        <f t="shared" si="118"/>
        <v>250030</v>
      </c>
      <c r="B6729" s="8" t="str">
        <f>"2561408010221"</f>
        <v>2561408010221</v>
      </c>
      <c r="C6729" s="8" t="s">
        <v>14</v>
      </c>
      <c r="D6729" s="9">
        <v>54.98</v>
      </c>
      <c r="E6729" s="8">
        <v>38</v>
      </c>
    </row>
    <row r="6730" s="3" customFormat="1" ht="18.75" spans="1:5">
      <c r="A6730" s="8" t="str">
        <f t="shared" si="118"/>
        <v>250030</v>
      </c>
      <c r="B6730" s="8" t="str">
        <f>"2561408010116"</f>
        <v>2561408010116</v>
      </c>
      <c r="C6730" s="8" t="s">
        <v>14</v>
      </c>
      <c r="D6730" s="9">
        <v>54.77</v>
      </c>
      <c r="E6730" s="8">
        <v>39</v>
      </c>
    </row>
    <row r="6731" s="3" customFormat="1" ht="18.75" spans="1:5">
      <c r="A6731" s="8" t="str">
        <f t="shared" si="118"/>
        <v>250030</v>
      </c>
      <c r="B6731" s="8" t="str">
        <f>"2561408010313"</f>
        <v>2561408010313</v>
      </c>
      <c r="C6731" s="8" t="s">
        <v>14</v>
      </c>
      <c r="D6731" s="9">
        <v>54.55</v>
      </c>
      <c r="E6731" s="8">
        <v>40</v>
      </c>
    </row>
    <row r="6732" s="3" customFormat="1" ht="18.75" spans="1:5">
      <c r="A6732" s="8" t="str">
        <f t="shared" si="118"/>
        <v>250030</v>
      </c>
      <c r="B6732" s="8" t="str">
        <f>"2561408010113"</f>
        <v>2561408010113</v>
      </c>
      <c r="C6732" s="8" t="s">
        <v>14</v>
      </c>
      <c r="D6732" s="9">
        <v>54.52</v>
      </c>
      <c r="E6732" s="8">
        <v>41</v>
      </c>
    </row>
    <row r="6733" s="3" customFormat="1" ht="18.75" spans="1:5">
      <c r="A6733" s="8" t="str">
        <f t="shared" si="118"/>
        <v>250030</v>
      </c>
      <c r="B6733" s="8" t="str">
        <f>"2561408010124"</f>
        <v>2561408010124</v>
      </c>
      <c r="C6733" s="8" t="s">
        <v>14</v>
      </c>
      <c r="D6733" s="9">
        <v>53.54</v>
      </c>
      <c r="E6733" s="8">
        <v>42</v>
      </c>
    </row>
    <row r="6734" s="3" customFormat="1" ht="18.75" spans="1:5">
      <c r="A6734" s="8" t="str">
        <f t="shared" si="118"/>
        <v>250030</v>
      </c>
      <c r="B6734" s="8" t="str">
        <f>"2561408010312"</f>
        <v>2561408010312</v>
      </c>
      <c r="C6734" s="8" t="s">
        <v>14</v>
      </c>
      <c r="D6734" s="9">
        <v>53.54</v>
      </c>
      <c r="E6734" s="8">
        <v>42</v>
      </c>
    </row>
    <row r="6735" s="3" customFormat="1" ht="18.75" spans="1:5">
      <c r="A6735" s="8" t="str">
        <f t="shared" si="118"/>
        <v>250030</v>
      </c>
      <c r="B6735" s="8" t="str">
        <f>"2561408010304"</f>
        <v>2561408010304</v>
      </c>
      <c r="C6735" s="8" t="s">
        <v>14</v>
      </c>
      <c r="D6735" s="9">
        <v>53.03</v>
      </c>
      <c r="E6735" s="8">
        <v>44</v>
      </c>
    </row>
    <row r="6736" s="3" customFormat="1" ht="18.75" spans="1:5">
      <c r="A6736" s="8" t="str">
        <f t="shared" si="118"/>
        <v>250030</v>
      </c>
      <c r="B6736" s="8" t="str">
        <f>"2561408010321"</f>
        <v>2561408010321</v>
      </c>
      <c r="C6736" s="8" t="s">
        <v>14</v>
      </c>
      <c r="D6736" s="9">
        <v>52.78</v>
      </c>
      <c r="E6736" s="8">
        <v>45</v>
      </c>
    </row>
    <row r="6737" s="3" customFormat="1" ht="18.75" spans="1:5">
      <c r="A6737" s="8" t="str">
        <f t="shared" si="118"/>
        <v>250030</v>
      </c>
      <c r="B6737" s="8" t="str">
        <f>"2561408010204"</f>
        <v>2561408010204</v>
      </c>
      <c r="C6737" s="8" t="s">
        <v>14</v>
      </c>
      <c r="D6737" s="9">
        <v>52.73</v>
      </c>
      <c r="E6737" s="8">
        <v>46</v>
      </c>
    </row>
    <row r="6738" s="3" customFormat="1" ht="18.75" spans="1:5">
      <c r="A6738" s="8" t="str">
        <f t="shared" si="118"/>
        <v>250030</v>
      </c>
      <c r="B6738" s="8" t="str">
        <f>"2561408010117"</f>
        <v>2561408010117</v>
      </c>
      <c r="C6738" s="8" t="s">
        <v>14</v>
      </c>
      <c r="D6738" s="9">
        <v>52.46</v>
      </c>
      <c r="E6738" s="8">
        <v>47</v>
      </c>
    </row>
    <row r="6739" s="3" customFormat="1" ht="18.75" spans="1:5">
      <c r="A6739" s="8" t="str">
        <f t="shared" si="118"/>
        <v>250030</v>
      </c>
      <c r="B6739" s="8" t="str">
        <f>"2561408010225"</f>
        <v>2561408010225</v>
      </c>
      <c r="C6739" s="8" t="s">
        <v>14</v>
      </c>
      <c r="D6739" s="9">
        <v>51.94</v>
      </c>
      <c r="E6739" s="8">
        <v>48</v>
      </c>
    </row>
    <row r="6740" s="3" customFormat="1" ht="18.75" spans="1:5">
      <c r="A6740" s="8" t="str">
        <f t="shared" si="118"/>
        <v>250030</v>
      </c>
      <c r="B6740" s="8" t="str">
        <f>"2561408010205"</f>
        <v>2561408010205</v>
      </c>
      <c r="C6740" s="8" t="s">
        <v>14</v>
      </c>
      <c r="D6740" s="9">
        <v>51.92</v>
      </c>
      <c r="E6740" s="8">
        <v>49</v>
      </c>
    </row>
    <row r="6741" s="3" customFormat="1" ht="18.75" spans="1:5">
      <c r="A6741" s="8" t="str">
        <f t="shared" si="118"/>
        <v>250030</v>
      </c>
      <c r="B6741" s="8" t="str">
        <f>"2561408010118"</f>
        <v>2561408010118</v>
      </c>
      <c r="C6741" s="8" t="s">
        <v>14</v>
      </c>
      <c r="D6741" s="9">
        <v>51.73</v>
      </c>
      <c r="E6741" s="8">
        <v>50</v>
      </c>
    </row>
    <row r="6742" s="3" customFormat="1" ht="18.75" spans="1:5">
      <c r="A6742" s="8" t="str">
        <f t="shared" si="118"/>
        <v>250030</v>
      </c>
      <c r="B6742" s="8" t="str">
        <f>"2561408010320"</f>
        <v>2561408010320</v>
      </c>
      <c r="C6742" s="8" t="s">
        <v>14</v>
      </c>
      <c r="D6742" s="9">
        <v>51.69</v>
      </c>
      <c r="E6742" s="8">
        <v>51</v>
      </c>
    </row>
    <row r="6743" s="3" customFormat="1" ht="18.75" spans="1:5">
      <c r="A6743" s="8" t="str">
        <f t="shared" si="118"/>
        <v>250030</v>
      </c>
      <c r="B6743" s="8" t="str">
        <f>"2561408010310"</f>
        <v>2561408010310</v>
      </c>
      <c r="C6743" s="8" t="s">
        <v>14</v>
      </c>
      <c r="D6743" s="9">
        <v>51.68</v>
      </c>
      <c r="E6743" s="8">
        <v>52</v>
      </c>
    </row>
    <row r="6744" s="3" customFormat="1" ht="18.75" spans="1:5">
      <c r="A6744" s="8" t="str">
        <f t="shared" si="118"/>
        <v>250030</v>
      </c>
      <c r="B6744" s="8" t="str">
        <f>"2561408010108"</f>
        <v>2561408010108</v>
      </c>
      <c r="C6744" s="8" t="s">
        <v>14</v>
      </c>
      <c r="D6744" s="9">
        <v>49.36</v>
      </c>
      <c r="E6744" s="8">
        <v>53</v>
      </c>
    </row>
    <row r="6745" s="3" customFormat="1" ht="18.75" spans="1:5">
      <c r="A6745" s="8" t="str">
        <f t="shared" si="118"/>
        <v>250030</v>
      </c>
      <c r="B6745" s="8" t="str">
        <f>"2561408010212"</f>
        <v>2561408010212</v>
      </c>
      <c r="C6745" s="8" t="s">
        <v>14</v>
      </c>
      <c r="D6745" s="9">
        <v>49</v>
      </c>
      <c r="E6745" s="8">
        <v>54</v>
      </c>
    </row>
    <row r="6746" s="3" customFormat="1" ht="18.75" spans="1:5">
      <c r="A6746" s="8" t="str">
        <f t="shared" si="118"/>
        <v>250030</v>
      </c>
      <c r="B6746" s="8" t="str">
        <f>"2561408010125"</f>
        <v>2561408010125</v>
      </c>
      <c r="C6746" s="8" t="s">
        <v>14</v>
      </c>
      <c r="D6746" s="9">
        <v>48.91</v>
      </c>
      <c r="E6746" s="8">
        <v>55</v>
      </c>
    </row>
    <row r="6747" s="3" customFormat="1" ht="18.75" spans="1:5">
      <c r="A6747" s="8" t="str">
        <f t="shared" si="118"/>
        <v>250030</v>
      </c>
      <c r="B6747" s="8" t="str">
        <f>"2561408010210"</f>
        <v>2561408010210</v>
      </c>
      <c r="C6747" s="8" t="s">
        <v>14</v>
      </c>
      <c r="D6747" s="9">
        <v>47.06</v>
      </c>
      <c r="E6747" s="8">
        <v>56</v>
      </c>
    </row>
    <row r="6748" s="3" customFormat="1" ht="18.75" spans="1:5">
      <c r="A6748" s="8" t="str">
        <f t="shared" si="118"/>
        <v>250030</v>
      </c>
      <c r="B6748" s="8" t="str">
        <f>"2561408010109"</f>
        <v>2561408010109</v>
      </c>
      <c r="C6748" s="8" t="s">
        <v>14</v>
      </c>
      <c r="D6748" s="9">
        <v>46.89</v>
      </c>
      <c r="E6748" s="8">
        <v>57</v>
      </c>
    </row>
    <row r="6749" s="3" customFormat="1" ht="18.75" spans="1:5">
      <c r="A6749" s="8" t="str">
        <f t="shared" si="118"/>
        <v>250030</v>
      </c>
      <c r="B6749" s="8" t="str">
        <f>"2561408010102"</f>
        <v>2561408010102</v>
      </c>
      <c r="C6749" s="8" t="s">
        <v>14</v>
      </c>
      <c r="D6749" s="9">
        <v>46.39</v>
      </c>
      <c r="E6749" s="8">
        <v>58</v>
      </c>
    </row>
    <row r="6750" s="3" customFormat="1" ht="18.75" spans="1:5">
      <c r="A6750" s="8" t="str">
        <f t="shared" si="118"/>
        <v>250030</v>
      </c>
      <c r="B6750" s="8" t="str">
        <f>"2561408010208"</f>
        <v>2561408010208</v>
      </c>
      <c r="C6750" s="8" t="s">
        <v>14</v>
      </c>
      <c r="D6750" s="9">
        <v>45.62</v>
      </c>
      <c r="E6750" s="8">
        <v>59</v>
      </c>
    </row>
    <row r="6751" s="3" customFormat="1" ht="18.75" spans="1:5">
      <c r="A6751" s="8" t="str">
        <f t="shared" si="118"/>
        <v>250030</v>
      </c>
      <c r="B6751" s="8" t="str">
        <f>"2561408010222"</f>
        <v>2561408010222</v>
      </c>
      <c r="C6751" s="8" t="s">
        <v>14</v>
      </c>
      <c r="D6751" s="9">
        <v>44.5</v>
      </c>
      <c r="E6751" s="8">
        <v>60</v>
      </c>
    </row>
    <row r="6752" s="3" customFormat="1" ht="18.75" spans="1:5">
      <c r="A6752" s="8" t="str">
        <f t="shared" si="118"/>
        <v>250030</v>
      </c>
      <c r="B6752" s="8" t="str">
        <f>"2561408010228"</f>
        <v>2561408010228</v>
      </c>
      <c r="C6752" s="8" t="s">
        <v>14</v>
      </c>
      <c r="D6752" s="9">
        <v>42.25</v>
      </c>
      <c r="E6752" s="8">
        <v>61</v>
      </c>
    </row>
    <row r="6753" s="3" customFormat="1" ht="18.75" spans="1:5">
      <c r="A6753" s="8" t="str">
        <f t="shared" si="118"/>
        <v>250030</v>
      </c>
      <c r="B6753" s="8" t="str">
        <f>"2561408010317"</f>
        <v>2561408010317</v>
      </c>
      <c r="C6753" s="8" t="s">
        <v>14</v>
      </c>
      <c r="D6753" s="9">
        <v>38.91</v>
      </c>
      <c r="E6753" s="8">
        <v>62</v>
      </c>
    </row>
    <row r="6754" s="3" customFormat="1" ht="18.75" spans="1:5">
      <c r="A6754" s="8" t="str">
        <f t="shared" si="118"/>
        <v>250030</v>
      </c>
      <c r="B6754" s="8" t="str">
        <f>"2561408010229"</f>
        <v>2561408010229</v>
      </c>
      <c r="C6754" s="8" t="s">
        <v>14</v>
      </c>
      <c r="D6754" s="9">
        <v>28.76</v>
      </c>
      <c r="E6754" s="8">
        <v>63</v>
      </c>
    </row>
    <row r="6755" s="3" customFormat="1" ht="18.75" spans="1:5">
      <c r="A6755" s="8" t="str">
        <f t="shared" si="118"/>
        <v>250030</v>
      </c>
      <c r="B6755" s="8" t="str">
        <f>"2561408010101"</f>
        <v>2561408010101</v>
      </c>
      <c r="C6755" s="8" t="s">
        <v>14</v>
      </c>
      <c r="D6755" s="9">
        <v>0</v>
      </c>
      <c r="E6755" s="8">
        <v>64</v>
      </c>
    </row>
    <row r="6756" s="3" customFormat="1" ht="18.75" spans="1:5">
      <c r="A6756" s="8" t="str">
        <f t="shared" ref="A6756:A6775" si="119">"250030"</f>
        <v>250030</v>
      </c>
      <c r="B6756" s="8" t="str">
        <f>"2561408010115"</f>
        <v>2561408010115</v>
      </c>
      <c r="C6756" s="8" t="s">
        <v>14</v>
      </c>
      <c r="D6756" s="9">
        <v>0</v>
      </c>
      <c r="E6756" s="8">
        <v>64</v>
      </c>
    </row>
    <row r="6757" s="3" customFormat="1" ht="18.75" spans="1:5">
      <c r="A6757" s="8" t="str">
        <f t="shared" si="119"/>
        <v>250030</v>
      </c>
      <c r="B6757" s="8" t="str">
        <f>"2561408010121"</f>
        <v>2561408010121</v>
      </c>
      <c r="C6757" s="8" t="s">
        <v>14</v>
      </c>
      <c r="D6757" s="9">
        <v>0</v>
      </c>
      <c r="E6757" s="8">
        <v>64</v>
      </c>
    </row>
    <row r="6758" s="3" customFormat="1" ht="18.75" spans="1:5">
      <c r="A6758" s="8" t="str">
        <f t="shared" si="119"/>
        <v>250030</v>
      </c>
      <c r="B6758" s="8" t="str">
        <f>"2561408010122"</f>
        <v>2561408010122</v>
      </c>
      <c r="C6758" s="8" t="s">
        <v>14</v>
      </c>
      <c r="D6758" s="9">
        <v>0</v>
      </c>
      <c r="E6758" s="8">
        <v>64</v>
      </c>
    </row>
    <row r="6759" s="3" customFormat="1" ht="18.75" spans="1:5">
      <c r="A6759" s="8" t="str">
        <f t="shared" si="119"/>
        <v>250030</v>
      </c>
      <c r="B6759" s="8" t="str">
        <f>"2561408010202"</f>
        <v>2561408010202</v>
      </c>
      <c r="C6759" s="8" t="s">
        <v>14</v>
      </c>
      <c r="D6759" s="9">
        <v>0</v>
      </c>
      <c r="E6759" s="8">
        <v>64</v>
      </c>
    </row>
    <row r="6760" s="3" customFormat="1" ht="18.75" spans="1:5">
      <c r="A6760" s="8" t="str">
        <f t="shared" si="119"/>
        <v>250030</v>
      </c>
      <c r="B6760" s="8" t="str">
        <f>"2561408010216"</f>
        <v>2561408010216</v>
      </c>
      <c r="C6760" s="8" t="s">
        <v>14</v>
      </c>
      <c r="D6760" s="9">
        <v>0</v>
      </c>
      <c r="E6760" s="8">
        <v>64</v>
      </c>
    </row>
    <row r="6761" s="3" customFormat="1" ht="18.75" spans="1:5">
      <c r="A6761" s="8" t="str">
        <f t="shared" si="119"/>
        <v>250030</v>
      </c>
      <c r="B6761" s="8" t="str">
        <f>"2561408010218"</f>
        <v>2561408010218</v>
      </c>
      <c r="C6761" s="8" t="s">
        <v>14</v>
      </c>
      <c r="D6761" s="9">
        <v>0</v>
      </c>
      <c r="E6761" s="8">
        <v>64</v>
      </c>
    </row>
    <row r="6762" s="3" customFormat="1" ht="18.75" spans="1:5">
      <c r="A6762" s="8" t="str">
        <f t="shared" si="119"/>
        <v>250030</v>
      </c>
      <c r="B6762" s="8" t="str">
        <f>"2561408010223"</f>
        <v>2561408010223</v>
      </c>
      <c r="C6762" s="8" t="s">
        <v>14</v>
      </c>
      <c r="D6762" s="9">
        <v>0</v>
      </c>
      <c r="E6762" s="8">
        <v>64</v>
      </c>
    </row>
    <row r="6763" s="3" customFormat="1" ht="18.75" spans="1:5">
      <c r="A6763" s="8" t="str">
        <f t="shared" si="119"/>
        <v>250030</v>
      </c>
      <c r="B6763" s="8" t="str">
        <f>"2561408010224"</f>
        <v>2561408010224</v>
      </c>
      <c r="C6763" s="8" t="s">
        <v>14</v>
      </c>
      <c r="D6763" s="9">
        <v>0</v>
      </c>
      <c r="E6763" s="8">
        <v>64</v>
      </c>
    </row>
    <row r="6764" s="3" customFormat="1" ht="18.75" spans="1:5">
      <c r="A6764" s="8" t="str">
        <f t="shared" si="119"/>
        <v>250030</v>
      </c>
      <c r="B6764" s="8" t="str">
        <f>"2561408010227"</f>
        <v>2561408010227</v>
      </c>
      <c r="C6764" s="8" t="s">
        <v>14</v>
      </c>
      <c r="D6764" s="9">
        <v>0</v>
      </c>
      <c r="E6764" s="8">
        <v>64</v>
      </c>
    </row>
    <row r="6765" s="3" customFormat="1" ht="18.75" spans="1:5">
      <c r="A6765" s="8" t="str">
        <f t="shared" si="119"/>
        <v>250030</v>
      </c>
      <c r="B6765" s="8" t="str">
        <f>"2561408010230"</f>
        <v>2561408010230</v>
      </c>
      <c r="C6765" s="8" t="s">
        <v>14</v>
      </c>
      <c r="D6765" s="9">
        <v>0</v>
      </c>
      <c r="E6765" s="8">
        <v>64</v>
      </c>
    </row>
    <row r="6766" s="3" customFormat="1" ht="18.75" spans="1:5">
      <c r="A6766" s="8" t="str">
        <f t="shared" si="119"/>
        <v>250030</v>
      </c>
      <c r="B6766" s="8" t="str">
        <f>"2561408010301"</f>
        <v>2561408010301</v>
      </c>
      <c r="C6766" s="8" t="s">
        <v>14</v>
      </c>
      <c r="D6766" s="9">
        <v>0</v>
      </c>
      <c r="E6766" s="8">
        <v>64</v>
      </c>
    </row>
    <row r="6767" s="3" customFormat="1" ht="18.75" spans="1:5">
      <c r="A6767" s="8" t="str">
        <f t="shared" si="119"/>
        <v>250030</v>
      </c>
      <c r="B6767" s="8" t="str">
        <f>"2561408010306"</f>
        <v>2561408010306</v>
      </c>
      <c r="C6767" s="8" t="s">
        <v>14</v>
      </c>
      <c r="D6767" s="9">
        <v>0</v>
      </c>
      <c r="E6767" s="8">
        <v>64</v>
      </c>
    </row>
    <row r="6768" s="3" customFormat="1" ht="18.75" spans="1:5">
      <c r="A6768" s="8" t="str">
        <f t="shared" si="119"/>
        <v>250030</v>
      </c>
      <c r="B6768" s="8" t="str">
        <f>"2561408010308"</f>
        <v>2561408010308</v>
      </c>
      <c r="C6768" s="8" t="s">
        <v>14</v>
      </c>
      <c r="D6768" s="9">
        <v>0</v>
      </c>
      <c r="E6768" s="8">
        <v>64</v>
      </c>
    </row>
    <row r="6769" s="3" customFormat="1" ht="18.75" spans="1:5">
      <c r="A6769" s="8" t="str">
        <f t="shared" si="119"/>
        <v>250030</v>
      </c>
      <c r="B6769" s="8" t="str">
        <f>"2561408010309"</f>
        <v>2561408010309</v>
      </c>
      <c r="C6769" s="8" t="s">
        <v>14</v>
      </c>
      <c r="D6769" s="9">
        <v>0</v>
      </c>
      <c r="E6769" s="8">
        <v>64</v>
      </c>
    </row>
    <row r="6770" s="3" customFormat="1" ht="18.75" spans="1:5">
      <c r="A6770" s="8" t="str">
        <f t="shared" si="119"/>
        <v>250030</v>
      </c>
      <c r="B6770" s="8" t="str">
        <f>"2561408010311"</f>
        <v>2561408010311</v>
      </c>
      <c r="C6770" s="8" t="s">
        <v>14</v>
      </c>
      <c r="D6770" s="9">
        <v>0</v>
      </c>
      <c r="E6770" s="8">
        <v>64</v>
      </c>
    </row>
    <row r="6771" s="3" customFormat="1" ht="18.75" spans="1:5">
      <c r="A6771" s="8" t="str">
        <f t="shared" si="119"/>
        <v>250030</v>
      </c>
      <c r="B6771" s="8" t="str">
        <f>"2561408010314"</f>
        <v>2561408010314</v>
      </c>
      <c r="C6771" s="8" t="s">
        <v>14</v>
      </c>
      <c r="D6771" s="9">
        <v>0</v>
      </c>
      <c r="E6771" s="8">
        <v>64</v>
      </c>
    </row>
    <row r="6772" s="3" customFormat="1" ht="18.75" spans="1:5">
      <c r="A6772" s="8" t="str">
        <f t="shared" si="119"/>
        <v>250030</v>
      </c>
      <c r="B6772" s="8" t="str">
        <f>"2561408010315"</f>
        <v>2561408010315</v>
      </c>
      <c r="C6772" s="8" t="s">
        <v>14</v>
      </c>
      <c r="D6772" s="9">
        <v>0</v>
      </c>
      <c r="E6772" s="8">
        <v>64</v>
      </c>
    </row>
    <row r="6773" s="3" customFormat="1" ht="18.75" spans="1:5">
      <c r="A6773" s="8" t="str">
        <f t="shared" si="119"/>
        <v>250030</v>
      </c>
      <c r="B6773" s="8" t="str">
        <f>"2561408010316"</f>
        <v>2561408010316</v>
      </c>
      <c r="C6773" s="8" t="s">
        <v>14</v>
      </c>
      <c r="D6773" s="9">
        <v>0</v>
      </c>
      <c r="E6773" s="8">
        <v>64</v>
      </c>
    </row>
    <row r="6774" s="3" customFormat="1" ht="18.75" spans="1:5">
      <c r="A6774" s="8" t="str">
        <f t="shared" si="119"/>
        <v>250030</v>
      </c>
      <c r="B6774" s="8" t="str">
        <f>"2561408010319"</f>
        <v>2561408010319</v>
      </c>
      <c r="C6774" s="8" t="s">
        <v>14</v>
      </c>
      <c r="D6774" s="9">
        <v>0</v>
      </c>
      <c r="E6774" s="8">
        <v>64</v>
      </c>
    </row>
    <row r="6775" s="3" customFormat="1" ht="18.75" spans="1:5">
      <c r="A6775" s="8" t="str">
        <f t="shared" si="119"/>
        <v>250030</v>
      </c>
      <c r="B6775" s="8" t="str">
        <f>"2561408010323"</f>
        <v>2561408010323</v>
      </c>
      <c r="C6775" s="8" t="s">
        <v>14</v>
      </c>
      <c r="D6775" s="9">
        <v>0</v>
      </c>
      <c r="E6775" s="8">
        <v>64</v>
      </c>
    </row>
    <row r="6776" s="3" customFormat="1" ht="18.75" spans="1:5">
      <c r="A6776" s="8" t="str">
        <f t="shared" ref="A6776:A6839" si="120">"250031"</f>
        <v>250031</v>
      </c>
      <c r="B6776" s="8" t="str">
        <f>"2561408010426"</f>
        <v>2561408010426</v>
      </c>
      <c r="C6776" s="8" t="s">
        <v>14</v>
      </c>
      <c r="D6776" s="9">
        <v>70.5</v>
      </c>
      <c r="E6776" s="8">
        <v>1</v>
      </c>
    </row>
    <row r="6777" s="3" customFormat="1" ht="18.75" spans="1:5">
      <c r="A6777" s="8" t="str">
        <f t="shared" si="120"/>
        <v>250031</v>
      </c>
      <c r="B6777" s="8" t="str">
        <f>"2561408010810"</f>
        <v>2561408010810</v>
      </c>
      <c r="C6777" s="8" t="s">
        <v>14</v>
      </c>
      <c r="D6777" s="9">
        <v>68.89</v>
      </c>
      <c r="E6777" s="8">
        <v>2</v>
      </c>
    </row>
    <row r="6778" s="3" customFormat="1" ht="18.75" spans="1:5">
      <c r="A6778" s="8" t="str">
        <f t="shared" si="120"/>
        <v>250031</v>
      </c>
      <c r="B6778" s="8" t="str">
        <f>"2561408010818"</f>
        <v>2561408010818</v>
      </c>
      <c r="C6778" s="8" t="s">
        <v>14</v>
      </c>
      <c r="D6778" s="9">
        <v>68.72</v>
      </c>
      <c r="E6778" s="8">
        <v>3</v>
      </c>
    </row>
    <row r="6779" s="3" customFormat="1" ht="18.75" spans="1:5">
      <c r="A6779" s="8" t="str">
        <f t="shared" si="120"/>
        <v>250031</v>
      </c>
      <c r="B6779" s="8" t="str">
        <f>"2561408011304"</f>
        <v>2561408011304</v>
      </c>
      <c r="C6779" s="8" t="s">
        <v>14</v>
      </c>
      <c r="D6779" s="9">
        <v>68.37</v>
      </c>
      <c r="E6779" s="8">
        <v>4</v>
      </c>
    </row>
    <row r="6780" s="3" customFormat="1" ht="18.75" spans="1:5">
      <c r="A6780" s="8" t="str">
        <f t="shared" si="120"/>
        <v>250031</v>
      </c>
      <c r="B6780" s="8" t="str">
        <f>"2561408010424"</f>
        <v>2561408010424</v>
      </c>
      <c r="C6780" s="8" t="s">
        <v>14</v>
      </c>
      <c r="D6780" s="9">
        <v>67.13</v>
      </c>
      <c r="E6780" s="8">
        <v>5</v>
      </c>
    </row>
    <row r="6781" s="3" customFormat="1" ht="18.75" spans="1:5">
      <c r="A6781" s="8" t="str">
        <f t="shared" si="120"/>
        <v>250031</v>
      </c>
      <c r="B6781" s="8" t="str">
        <f>"2561408010522"</f>
        <v>2561408010522</v>
      </c>
      <c r="C6781" s="8" t="s">
        <v>14</v>
      </c>
      <c r="D6781" s="9">
        <v>66.87</v>
      </c>
      <c r="E6781" s="8">
        <v>6</v>
      </c>
    </row>
    <row r="6782" s="3" customFormat="1" ht="18.75" spans="1:5">
      <c r="A6782" s="8" t="str">
        <f t="shared" si="120"/>
        <v>250031</v>
      </c>
      <c r="B6782" s="8" t="str">
        <f>"2561408010627"</f>
        <v>2561408010627</v>
      </c>
      <c r="C6782" s="8" t="s">
        <v>14</v>
      </c>
      <c r="D6782" s="9">
        <v>66.85</v>
      </c>
      <c r="E6782" s="8">
        <v>7</v>
      </c>
    </row>
    <row r="6783" s="3" customFormat="1" ht="18.75" spans="1:5">
      <c r="A6783" s="8" t="str">
        <f t="shared" si="120"/>
        <v>250031</v>
      </c>
      <c r="B6783" s="8" t="str">
        <f>"2561408011121"</f>
        <v>2561408011121</v>
      </c>
      <c r="C6783" s="8" t="s">
        <v>14</v>
      </c>
      <c r="D6783" s="9">
        <v>66.72</v>
      </c>
      <c r="E6783" s="8">
        <v>8</v>
      </c>
    </row>
    <row r="6784" s="3" customFormat="1" ht="18.75" spans="1:5">
      <c r="A6784" s="8" t="str">
        <f t="shared" si="120"/>
        <v>250031</v>
      </c>
      <c r="B6784" s="8" t="str">
        <f>"2561408011322"</f>
        <v>2561408011322</v>
      </c>
      <c r="C6784" s="8" t="s">
        <v>14</v>
      </c>
      <c r="D6784" s="9">
        <v>66.55</v>
      </c>
      <c r="E6784" s="8">
        <v>9</v>
      </c>
    </row>
    <row r="6785" s="3" customFormat="1" ht="18.75" spans="1:5">
      <c r="A6785" s="8" t="str">
        <f t="shared" si="120"/>
        <v>250031</v>
      </c>
      <c r="B6785" s="8" t="str">
        <f>"2561408011022"</f>
        <v>2561408011022</v>
      </c>
      <c r="C6785" s="8" t="s">
        <v>14</v>
      </c>
      <c r="D6785" s="9">
        <v>65.2</v>
      </c>
      <c r="E6785" s="8">
        <v>10</v>
      </c>
    </row>
    <row r="6786" s="3" customFormat="1" ht="18.75" spans="1:5">
      <c r="A6786" s="8" t="str">
        <f t="shared" si="120"/>
        <v>250031</v>
      </c>
      <c r="B6786" s="8" t="str">
        <f>"2561408011020"</f>
        <v>2561408011020</v>
      </c>
      <c r="C6786" s="8" t="s">
        <v>14</v>
      </c>
      <c r="D6786" s="9">
        <v>64.97</v>
      </c>
      <c r="E6786" s="8">
        <v>11</v>
      </c>
    </row>
    <row r="6787" s="3" customFormat="1" ht="18.75" spans="1:5">
      <c r="A6787" s="8" t="str">
        <f t="shared" si="120"/>
        <v>250031</v>
      </c>
      <c r="B6787" s="8" t="str">
        <f>"2561408010815"</f>
        <v>2561408010815</v>
      </c>
      <c r="C6787" s="8" t="s">
        <v>14</v>
      </c>
      <c r="D6787" s="9">
        <v>64.65</v>
      </c>
      <c r="E6787" s="8">
        <v>12</v>
      </c>
    </row>
    <row r="6788" s="3" customFormat="1" ht="18.75" spans="1:5">
      <c r="A6788" s="8" t="str">
        <f t="shared" si="120"/>
        <v>250031</v>
      </c>
      <c r="B6788" s="8" t="str">
        <f>"2561408010718"</f>
        <v>2561408010718</v>
      </c>
      <c r="C6788" s="8" t="s">
        <v>14</v>
      </c>
      <c r="D6788" s="9">
        <v>64.52</v>
      </c>
      <c r="E6788" s="8">
        <v>13</v>
      </c>
    </row>
    <row r="6789" s="3" customFormat="1" ht="18.75" spans="1:5">
      <c r="A6789" s="8" t="str">
        <f t="shared" si="120"/>
        <v>250031</v>
      </c>
      <c r="B6789" s="8" t="str">
        <f>"2561408010622"</f>
        <v>2561408010622</v>
      </c>
      <c r="C6789" s="8" t="s">
        <v>14</v>
      </c>
      <c r="D6789" s="9">
        <v>64.34</v>
      </c>
      <c r="E6789" s="8">
        <v>14</v>
      </c>
    </row>
    <row r="6790" s="3" customFormat="1" ht="18.75" spans="1:5">
      <c r="A6790" s="8" t="str">
        <f t="shared" si="120"/>
        <v>250031</v>
      </c>
      <c r="B6790" s="8" t="str">
        <f>"2561408011302"</f>
        <v>2561408011302</v>
      </c>
      <c r="C6790" s="8" t="s">
        <v>14</v>
      </c>
      <c r="D6790" s="9">
        <v>63.94</v>
      </c>
      <c r="E6790" s="8">
        <v>15</v>
      </c>
    </row>
    <row r="6791" s="3" customFormat="1" ht="18.75" spans="1:5">
      <c r="A6791" s="8" t="str">
        <f t="shared" si="120"/>
        <v>250031</v>
      </c>
      <c r="B6791" s="8" t="str">
        <f>"2561408011208"</f>
        <v>2561408011208</v>
      </c>
      <c r="C6791" s="8" t="s">
        <v>14</v>
      </c>
      <c r="D6791" s="9">
        <v>63.92</v>
      </c>
      <c r="E6791" s="8">
        <v>16</v>
      </c>
    </row>
    <row r="6792" s="3" customFormat="1" ht="18.75" spans="1:5">
      <c r="A6792" s="8" t="str">
        <f t="shared" si="120"/>
        <v>250031</v>
      </c>
      <c r="B6792" s="8" t="str">
        <f>"2561408010422"</f>
        <v>2561408010422</v>
      </c>
      <c r="C6792" s="8" t="s">
        <v>14</v>
      </c>
      <c r="D6792" s="9">
        <v>63.59</v>
      </c>
      <c r="E6792" s="8">
        <v>17</v>
      </c>
    </row>
    <row r="6793" s="3" customFormat="1" ht="18.75" spans="1:5">
      <c r="A6793" s="8" t="str">
        <f t="shared" si="120"/>
        <v>250031</v>
      </c>
      <c r="B6793" s="8" t="str">
        <f>"2561408010612"</f>
        <v>2561408010612</v>
      </c>
      <c r="C6793" s="8" t="s">
        <v>14</v>
      </c>
      <c r="D6793" s="9">
        <v>63.59</v>
      </c>
      <c r="E6793" s="8">
        <v>17</v>
      </c>
    </row>
    <row r="6794" s="3" customFormat="1" ht="18.75" spans="1:5">
      <c r="A6794" s="8" t="str">
        <f t="shared" si="120"/>
        <v>250031</v>
      </c>
      <c r="B6794" s="8" t="str">
        <f>"2561408010616"</f>
        <v>2561408010616</v>
      </c>
      <c r="C6794" s="8" t="s">
        <v>14</v>
      </c>
      <c r="D6794" s="9">
        <v>63.36</v>
      </c>
      <c r="E6794" s="8">
        <v>19</v>
      </c>
    </row>
    <row r="6795" s="3" customFormat="1" ht="18.75" spans="1:5">
      <c r="A6795" s="8" t="str">
        <f t="shared" si="120"/>
        <v>250031</v>
      </c>
      <c r="B6795" s="8" t="str">
        <f>"2561408010926"</f>
        <v>2561408010926</v>
      </c>
      <c r="C6795" s="8" t="s">
        <v>14</v>
      </c>
      <c r="D6795" s="9">
        <v>63.3</v>
      </c>
      <c r="E6795" s="8">
        <v>20</v>
      </c>
    </row>
    <row r="6796" s="3" customFormat="1" ht="18.75" spans="1:5">
      <c r="A6796" s="8" t="str">
        <f t="shared" si="120"/>
        <v>250031</v>
      </c>
      <c r="B6796" s="8" t="str">
        <f>"2561408010517"</f>
        <v>2561408010517</v>
      </c>
      <c r="C6796" s="8" t="s">
        <v>14</v>
      </c>
      <c r="D6796" s="9">
        <v>63.25</v>
      </c>
      <c r="E6796" s="8">
        <v>21</v>
      </c>
    </row>
    <row r="6797" s="3" customFormat="1" ht="18.75" spans="1:5">
      <c r="A6797" s="8" t="str">
        <f t="shared" si="120"/>
        <v>250031</v>
      </c>
      <c r="B6797" s="8" t="str">
        <f>"2561408010805"</f>
        <v>2561408010805</v>
      </c>
      <c r="C6797" s="8" t="s">
        <v>14</v>
      </c>
      <c r="D6797" s="9">
        <v>63.22</v>
      </c>
      <c r="E6797" s="8">
        <v>22</v>
      </c>
    </row>
    <row r="6798" s="3" customFormat="1" ht="18.75" spans="1:5">
      <c r="A6798" s="8" t="str">
        <f t="shared" si="120"/>
        <v>250031</v>
      </c>
      <c r="B6798" s="8" t="str">
        <f>"2561408010510"</f>
        <v>2561408010510</v>
      </c>
      <c r="C6798" s="8" t="s">
        <v>14</v>
      </c>
      <c r="D6798" s="9">
        <v>63.1</v>
      </c>
      <c r="E6798" s="8">
        <v>23</v>
      </c>
    </row>
    <row r="6799" s="3" customFormat="1" ht="18.75" spans="1:5">
      <c r="A6799" s="8" t="str">
        <f t="shared" si="120"/>
        <v>250031</v>
      </c>
      <c r="B6799" s="8" t="str">
        <f>"2561408011212"</f>
        <v>2561408011212</v>
      </c>
      <c r="C6799" s="8" t="s">
        <v>14</v>
      </c>
      <c r="D6799" s="9">
        <v>63.09</v>
      </c>
      <c r="E6799" s="8">
        <v>24</v>
      </c>
    </row>
    <row r="6800" s="3" customFormat="1" ht="18.75" spans="1:5">
      <c r="A6800" s="8" t="str">
        <f t="shared" si="120"/>
        <v>250031</v>
      </c>
      <c r="B6800" s="8" t="str">
        <f>"2561408010724"</f>
        <v>2561408010724</v>
      </c>
      <c r="C6800" s="8" t="s">
        <v>14</v>
      </c>
      <c r="D6800" s="9">
        <v>62.99</v>
      </c>
      <c r="E6800" s="8">
        <v>25</v>
      </c>
    </row>
    <row r="6801" s="3" customFormat="1" ht="18.75" spans="1:5">
      <c r="A6801" s="8" t="str">
        <f t="shared" si="120"/>
        <v>250031</v>
      </c>
      <c r="B6801" s="8" t="str">
        <f>"2561408011008"</f>
        <v>2561408011008</v>
      </c>
      <c r="C6801" s="8" t="s">
        <v>14</v>
      </c>
      <c r="D6801" s="9">
        <v>62.98</v>
      </c>
      <c r="E6801" s="8">
        <v>26</v>
      </c>
    </row>
    <row r="6802" s="3" customFormat="1" ht="18.75" spans="1:5">
      <c r="A6802" s="8" t="str">
        <f t="shared" si="120"/>
        <v>250031</v>
      </c>
      <c r="B6802" s="8" t="str">
        <f>"2561408011024"</f>
        <v>2561408011024</v>
      </c>
      <c r="C6802" s="8" t="s">
        <v>14</v>
      </c>
      <c r="D6802" s="9">
        <v>62.94</v>
      </c>
      <c r="E6802" s="8">
        <v>27</v>
      </c>
    </row>
    <row r="6803" s="3" customFormat="1" ht="18.75" spans="1:5">
      <c r="A6803" s="8" t="str">
        <f t="shared" si="120"/>
        <v>250031</v>
      </c>
      <c r="B6803" s="8" t="str">
        <f>"2561408011203"</f>
        <v>2561408011203</v>
      </c>
      <c r="C6803" s="8" t="s">
        <v>14</v>
      </c>
      <c r="D6803" s="9">
        <v>62.74</v>
      </c>
      <c r="E6803" s="8">
        <v>28</v>
      </c>
    </row>
    <row r="6804" s="3" customFormat="1" ht="18.75" spans="1:5">
      <c r="A6804" s="8" t="str">
        <f t="shared" si="120"/>
        <v>250031</v>
      </c>
      <c r="B6804" s="8" t="str">
        <f>"2561408010723"</f>
        <v>2561408010723</v>
      </c>
      <c r="C6804" s="8" t="s">
        <v>14</v>
      </c>
      <c r="D6804" s="9">
        <v>62.69</v>
      </c>
      <c r="E6804" s="8">
        <v>29</v>
      </c>
    </row>
    <row r="6805" s="3" customFormat="1" ht="18.75" spans="1:5">
      <c r="A6805" s="8" t="str">
        <f t="shared" si="120"/>
        <v>250031</v>
      </c>
      <c r="B6805" s="8" t="str">
        <f>"2561408011301"</f>
        <v>2561408011301</v>
      </c>
      <c r="C6805" s="8" t="s">
        <v>14</v>
      </c>
      <c r="D6805" s="9">
        <v>62.69</v>
      </c>
      <c r="E6805" s="8">
        <v>29</v>
      </c>
    </row>
    <row r="6806" s="3" customFormat="1" ht="18.75" spans="1:5">
      <c r="A6806" s="8" t="str">
        <f t="shared" si="120"/>
        <v>250031</v>
      </c>
      <c r="B6806" s="8" t="str">
        <f>"2561408011120"</f>
        <v>2561408011120</v>
      </c>
      <c r="C6806" s="8" t="s">
        <v>14</v>
      </c>
      <c r="D6806" s="9">
        <v>62.24</v>
      </c>
      <c r="E6806" s="8">
        <v>31</v>
      </c>
    </row>
    <row r="6807" s="3" customFormat="1" ht="18.75" spans="1:5">
      <c r="A6807" s="8" t="str">
        <f t="shared" si="120"/>
        <v>250031</v>
      </c>
      <c r="B6807" s="8" t="str">
        <f>"2561408010806"</f>
        <v>2561408010806</v>
      </c>
      <c r="C6807" s="8" t="s">
        <v>14</v>
      </c>
      <c r="D6807" s="9">
        <v>62.04</v>
      </c>
      <c r="E6807" s="8">
        <v>32</v>
      </c>
    </row>
    <row r="6808" s="3" customFormat="1" ht="18.75" spans="1:5">
      <c r="A6808" s="8" t="str">
        <f t="shared" si="120"/>
        <v>250031</v>
      </c>
      <c r="B6808" s="8" t="str">
        <f>"2561408011019"</f>
        <v>2561408011019</v>
      </c>
      <c r="C6808" s="8" t="s">
        <v>14</v>
      </c>
      <c r="D6808" s="9">
        <v>61.67</v>
      </c>
      <c r="E6808" s="8">
        <v>33</v>
      </c>
    </row>
    <row r="6809" s="3" customFormat="1" ht="18.75" spans="1:5">
      <c r="A6809" s="8" t="str">
        <f t="shared" si="120"/>
        <v>250031</v>
      </c>
      <c r="B6809" s="8" t="str">
        <f>"2561408010628"</f>
        <v>2561408010628</v>
      </c>
      <c r="C6809" s="8" t="s">
        <v>14</v>
      </c>
      <c r="D6809" s="9">
        <v>61.63</v>
      </c>
      <c r="E6809" s="8">
        <v>34</v>
      </c>
    </row>
    <row r="6810" s="3" customFormat="1" ht="18.75" spans="1:5">
      <c r="A6810" s="8" t="str">
        <f t="shared" si="120"/>
        <v>250031</v>
      </c>
      <c r="B6810" s="8" t="str">
        <f>"2561408010420"</f>
        <v>2561408010420</v>
      </c>
      <c r="C6810" s="8" t="s">
        <v>14</v>
      </c>
      <c r="D6810" s="9">
        <v>61.43</v>
      </c>
      <c r="E6810" s="8">
        <v>35</v>
      </c>
    </row>
    <row r="6811" s="3" customFormat="1" ht="18.75" spans="1:5">
      <c r="A6811" s="8" t="str">
        <f t="shared" si="120"/>
        <v>250031</v>
      </c>
      <c r="B6811" s="8" t="str">
        <f>"2561408010506"</f>
        <v>2561408010506</v>
      </c>
      <c r="C6811" s="8" t="s">
        <v>14</v>
      </c>
      <c r="D6811" s="9">
        <v>61.31</v>
      </c>
      <c r="E6811" s="8">
        <v>36</v>
      </c>
    </row>
    <row r="6812" s="3" customFormat="1" ht="18.75" spans="1:5">
      <c r="A6812" s="8" t="str">
        <f t="shared" si="120"/>
        <v>250031</v>
      </c>
      <c r="B6812" s="8" t="str">
        <f>"2561408011324"</f>
        <v>2561408011324</v>
      </c>
      <c r="C6812" s="8" t="s">
        <v>14</v>
      </c>
      <c r="D6812" s="9">
        <v>61.02</v>
      </c>
      <c r="E6812" s="8">
        <v>37</v>
      </c>
    </row>
    <row r="6813" s="3" customFormat="1" ht="18.75" spans="1:5">
      <c r="A6813" s="8" t="str">
        <f t="shared" si="120"/>
        <v>250031</v>
      </c>
      <c r="B6813" s="8" t="str">
        <f>"2561408011004"</f>
        <v>2561408011004</v>
      </c>
      <c r="C6813" s="8" t="s">
        <v>14</v>
      </c>
      <c r="D6813" s="9">
        <v>61</v>
      </c>
      <c r="E6813" s="8">
        <v>38</v>
      </c>
    </row>
    <row r="6814" s="3" customFormat="1" ht="18.75" spans="1:5">
      <c r="A6814" s="8" t="str">
        <f t="shared" si="120"/>
        <v>250031</v>
      </c>
      <c r="B6814" s="8" t="str">
        <f>"2561408010919"</f>
        <v>2561408010919</v>
      </c>
      <c r="C6814" s="8" t="s">
        <v>14</v>
      </c>
      <c r="D6814" s="9">
        <v>60.77</v>
      </c>
      <c r="E6814" s="8">
        <v>39</v>
      </c>
    </row>
    <row r="6815" s="3" customFormat="1" ht="18.75" spans="1:5">
      <c r="A6815" s="8" t="str">
        <f t="shared" si="120"/>
        <v>250031</v>
      </c>
      <c r="B6815" s="8" t="str">
        <f>"2561408011309"</f>
        <v>2561408011309</v>
      </c>
      <c r="C6815" s="8" t="s">
        <v>14</v>
      </c>
      <c r="D6815" s="9">
        <v>60.48</v>
      </c>
      <c r="E6815" s="8">
        <v>40</v>
      </c>
    </row>
    <row r="6816" s="3" customFormat="1" ht="18.75" spans="1:5">
      <c r="A6816" s="8" t="str">
        <f t="shared" si="120"/>
        <v>250031</v>
      </c>
      <c r="B6816" s="8" t="str">
        <f>"2561408011117"</f>
        <v>2561408011117</v>
      </c>
      <c r="C6816" s="8" t="s">
        <v>14</v>
      </c>
      <c r="D6816" s="9">
        <v>60.25</v>
      </c>
      <c r="E6816" s="8">
        <v>41</v>
      </c>
    </row>
    <row r="6817" s="3" customFormat="1" ht="18.75" spans="1:5">
      <c r="A6817" s="8" t="str">
        <f t="shared" si="120"/>
        <v>250031</v>
      </c>
      <c r="B6817" s="8" t="str">
        <f>"2561408010419"</f>
        <v>2561408010419</v>
      </c>
      <c r="C6817" s="8" t="s">
        <v>14</v>
      </c>
      <c r="D6817" s="9">
        <v>60.22</v>
      </c>
      <c r="E6817" s="8">
        <v>42</v>
      </c>
    </row>
    <row r="6818" s="3" customFormat="1" ht="18.75" spans="1:5">
      <c r="A6818" s="8" t="str">
        <f t="shared" si="120"/>
        <v>250031</v>
      </c>
      <c r="B6818" s="8" t="str">
        <f>"2561408011017"</f>
        <v>2561408011017</v>
      </c>
      <c r="C6818" s="8" t="s">
        <v>14</v>
      </c>
      <c r="D6818" s="9">
        <v>60</v>
      </c>
      <c r="E6818" s="8">
        <v>43</v>
      </c>
    </row>
    <row r="6819" s="3" customFormat="1" ht="18.75" spans="1:5">
      <c r="A6819" s="8" t="str">
        <f t="shared" si="120"/>
        <v>250031</v>
      </c>
      <c r="B6819" s="8" t="str">
        <f>"2561408010519"</f>
        <v>2561408010519</v>
      </c>
      <c r="C6819" s="8" t="s">
        <v>14</v>
      </c>
      <c r="D6819" s="9">
        <v>59.99</v>
      </c>
      <c r="E6819" s="8">
        <v>44</v>
      </c>
    </row>
    <row r="6820" s="3" customFormat="1" ht="18.75" spans="1:5">
      <c r="A6820" s="8" t="str">
        <f t="shared" si="120"/>
        <v>250031</v>
      </c>
      <c r="B6820" s="8" t="str">
        <f>"2561408010906"</f>
        <v>2561408010906</v>
      </c>
      <c r="C6820" s="8" t="s">
        <v>14</v>
      </c>
      <c r="D6820" s="9">
        <v>59.91</v>
      </c>
      <c r="E6820" s="8">
        <v>45</v>
      </c>
    </row>
    <row r="6821" s="3" customFormat="1" ht="18.75" spans="1:5">
      <c r="A6821" s="8" t="str">
        <f t="shared" si="120"/>
        <v>250031</v>
      </c>
      <c r="B6821" s="8" t="str">
        <f>"2561408010825"</f>
        <v>2561408010825</v>
      </c>
      <c r="C6821" s="8" t="s">
        <v>14</v>
      </c>
      <c r="D6821" s="9">
        <v>59.69</v>
      </c>
      <c r="E6821" s="8">
        <v>46</v>
      </c>
    </row>
    <row r="6822" s="3" customFormat="1" ht="18.75" spans="1:5">
      <c r="A6822" s="8" t="str">
        <f t="shared" si="120"/>
        <v>250031</v>
      </c>
      <c r="B6822" s="8" t="str">
        <f>"2561408011210"</f>
        <v>2561408011210</v>
      </c>
      <c r="C6822" s="8" t="s">
        <v>14</v>
      </c>
      <c r="D6822" s="9">
        <v>59.64</v>
      </c>
      <c r="E6822" s="8">
        <v>47</v>
      </c>
    </row>
    <row r="6823" s="3" customFormat="1" ht="18.75" spans="1:5">
      <c r="A6823" s="8" t="str">
        <f t="shared" si="120"/>
        <v>250031</v>
      </c>
      <c r="B6823" s="8" t="str">
        <f>"2561408010703"</f>
        <v>2561408010703</v>
      </c>
      <c r="C6823" s="8" t="s">
        <v>14</v>
      </c>
      <c r="D6823" s="9">
        <v>59.54</v>
      </c>
      <c r="E6823" s="8">
        <v>48</v>
      </c>
    </row>
    <row r="6824" s="3" customFormat="1" ht="18.75" spans="1:5">
      <c r="A6824" s="8" t="str">
        <f t="shared" si="120"/>
        <v>250031</v>
      </c>
      <c r="B6824" s="8" t="str">
        <f>"2561408010808"</f>
        <v>2561408010808</v>
      </c>
      <c r="C6824" s="8" t="s">
        <v>14</v>
      </c>
      <c r="D6824" s="9">
        <v>59.51</v>
      </c>
      <c r="E6824" s="8">
        <v>49</v>
      </c>
    </row>
    <row r="6825" s="3" customFormat="1" ht="18.75" spans="1:5">
      <c r="A6825" s="8" t="str">
        <f t="shared" si="120"/>
        <v>250031</v>
      </c>
      <c r="B6825" s="8" t="str">
        <f>"2561408011207"</f>
        <v>2561408011207</v>
      </c>
      <c r="C6825" s="8" t="s">
        <v>14</v>
      </c>
      <c r="D6825" s="9">
        <v>59.45</v>
      </c>
      <c r="E6825" s="8">
        <v>50</v>
      </c>
    </row>
    <row r="6826" s="3" customFormat="1" ht="18.75" spans="1:5">
      <c r="A6826" s="8" t="str">
        <f t="shared" si="120"/>
        <v>250031</v>
      </c>
      <c r="B6826" s="8" t="str">
        <f>"2561408011018"</f>
        <v>2561408011018</v>
      </c>
      <c r="C6826" s="8" t="s">
        <v>14</v>
      </c>
      <c r="D6826" s="9">
        <v>59.12</v>
      </c>
      <c r="E6826" s="8">
        <v>51</v>
      </c>
    </row>
    <row r="6827" s="3" customFormat="1" ht="18.75" spans="1:5">
      <c r="A6827" s="8" t="str">
        <f t="shared" si="120"/>
        <v>250031</v>
      </c>
      <c r="B6827" s="8" t="str">
        <f>"2561408010930"</f>
        <v>2561408010930</v>
      </c>
      <c r="C6827" s="8" t="s">
        <v>14</v>
      </c>
      <c r="D6827" s="9">
        <v>59.08</v>
      </c>
      <c r="E6827" s="8">
        <v>52</v>
      </c>
    </row>
    <row r="6828" s="3" customFormat="1" ht="18.75" spans="1:5">
      <c r="A6828" s="8" t="str">
        <f t="shared" si="120"/>
        <v>250031</v>
      </c>
      <c r="B6828" s="8" t="str">
        <f>"2561408011104"</f>
        <v>2561408011104</v>
      </c>
      <c r="C6828" s="8" t="s">
        <v>14</v>
      </c>
      <c r="D6828" s="9">
        <v>59.08</v>
      </c>
      <c r="E6828" s="8">
        <v>52</v>
      </c>
    </row>
    <row r="6829" s="3" customFormat="1" ht="18.75" spans="1:5">
      <c r="A6829" s="8" t="str">
        <f t="shared" si="120"/>
        <v>250031</v>
      </c>
      <c r="B6829" s="8" t="str">
        <f>"2561408010502"</f>
        <v>2561408010502</v>
      </c>
      <c r="C6829" s="8" t="s">
        <v>14</v>
      </c>
      <c r="D6829" s="9">
        <v>58.88</v>
      </c>
      <c r="E6829" s="8">
        <v>54</v>
      </c>
    </row>
    <row r="6830" s="3" customFormat="1" ht="18.75" spans="1:5">
      <c r="A6830" s="8" t="str">
        <f t="shared" si="120"/>
        <v>250031</v>
      </c>
      <c r="B6830" s="8" t="str">
        <f>"2561408010901"</f>
        <v>2561408010901</v>
      </c>
      <c r="C6830" s="8" t="s">
        <v>14</v>
      </c>
      <c r="D6830" s="9">
        <v>58.84</v>
      </c>
      <c r="E6830" s="8">
        <v>55</v>
      </c>
    </row>
    <row r="6831" s="3" customFormat="1" ht="18.75" spans="1:5">
      <c r="A6831" s="8" t="str">
        <f t="shared" si="120"/>
        <v>250031</v>
      </c>
      <c r="B6831" s="8" t="str">
        <f>"2561408011306"</f>
        <v>2561408011306</v>
      </c>
      <c r="C6831" s="8" t="s">
        <v>14</v>
      </c>
      <c r="D6831" s="9">
        <v>58.84</v>
      </c>
      <c r="E6831" s="8">
        <v>55</v>
      </c>
    </row>
    <row r="6832" s="3" customFormat="1" ht="18.75" spans="1:5">
      <c r="A6832" s="8" t="str">
        <f t="shared" si="120"/>
        <v>250031</v>
      </c>
      <c r="B6832" s="8" t="str">
        <f>"2561408010328"</f>
        <v>2561408010328</v>
      </c>
      <c r="C6832" s="8" t="s">
        <v>14</v>
      </c>
      <c r="D6832" s="9">
        <v>58.65</v>
      </c>
      <c r="E6832" s="8">
        <v>57</v>
      </c>
    </row>
    <row r="6833" s="3" customFormat="1" ht="18.75" spans="1:5">
      <c r="A6833" s="8" t="str">
        <f t="shared" si="120"/>
        <v>250031</v>
      </c>
      <c r="B6833" s="8" t="str">
        <f>"2561408010401"</f>
        <v>2561408010401</v>
      </c>
      <c r="C6833" s="8" t="s">
        <v>14</v>
      </c>
      <c r="D6833" s="9">
        <v>58.6</v>
      </c>
      <c r="E6833" s="8">
        <v>58</v>
      </c>
    </row>
    <row r="6834" s="3" customFormat="1" ht="18.75" spans="1:5">
      <c r="A6834" s="8" t="str">
        <f t="shared" si="120"/>
        <v>250031</v>
      </c>
      <c r="B6834" s="8" t="str">
        <f>"2561408010912"</f>
        <v>2561408010912</v>
      </c>
      <c r="C6834" s="8" t="s">
        <v>14</v>
      </c>
      <c r="D6834" s="9">
        <v>58.55</v>
      </c>
      <c r="E6834" s="8">
        <v>59</v>
      </c>
    </row>
    <row r="6835" s="3" customFormat="1" ht="18.75" spans="1:5">
      <c r="A6835" s="8" t="str">
        <f t="shared" si="120"/>
        <v>250031</v>
      </c>
      <c r="B6835" s="8" t="str">
        <f>"2561408010710"</f>
        <v>2561408010710</v>
      </c>
      <c r="C6835" s="8" t="s">
        <v>14</v>
      </c>
      <c r="D6835" s="9">
        <v>58.46</v>
      </c>
      <c r="E6835" s="8">
        <v>60</v>
      </c>
    </row>
    <row r="6836" s="3" customFormat="1" ht="18.75" spans="1:5">
      <c r="A6836" s="8" t="str">
        <f t="shared" si="120"/>
        <v>250031</v>
      </c>
      <c r="B6836" s="8" t="str">
        <f>"2561408011021"</f>
        <v>2561408011021</v>
      </c>
      <c r="C6836" s="8" t="s">
        <v>14</v>
      </c>
      <c r="D6836" s="9">
        <v>58.45</v>
      </c>
      <c r="E6836" s="8">
        <v>61</v>
      </c>
    </row>
    <row r="6837" s="3" customFormat="1" ht="18.75" spans="1:5">
      <c r="A6837" s="8" t="str">
        <f t="shared" si="120"/>
        <v>250031</v>
      </c>
      <c r="B6837" s="8" t="str">
        <f>"2561408010820"</f>
        <v>2561408010820</v>
      </c>
      <c r="C6837" s="8" t="s">
        <v>14</v>
      </c>
      <c r="D6837" s="9">
        <v>58.34</v>
      </c>
      <c r="E6837" s="8">
        <v>62</v>
      </c>
    </row>
    <row r="6838" s="3" customFormat="1" ht="18.75" spans="1:5">
      <c r="A6838" s="8" t="str">
        <f t="shared" si="120"/>
        <v>250031</v>
      </c>
      <c r="B6838" s="8" t="str">
        <f>"2561408011308"</f>
        <v>2561408011308</v>
      </c>
      <c r="C6838" s="8" t="s">
        <v>14</v>
      </c>
      <c r="D6838" s="9">
        <v>58.17</v>
      </c>
      <c r="E6838" s="8">
        <v>63</v>
      </c>
    </row>
    <row r="6839" s="3" customFormat="1" ht="18.75" spans="1:5">
      <c r="A6839" s="8" t="str">
        <f t="shared" si="120"/>
        <v>250031</v>
      </c>
      <c r="B6839" s="8" t="str">
        <f>"2561408010507"</f>
        <v>2561408010507</v>
      </c>
      <c r="C6839" s="8" t="s">
        <v>14</v>
      </c>
      <c r="D6839" s="9">
        <v>58.11</v>
      </c>
      <c r="E6839" s="8">
        <v>64</v>
      </c>
    </row>
    <row r="6840" s="3" customFormat="1" ht="18.75" spans="1:5">
      <c r="A6840" s="8" t="str">
        <f t="shared" ref="A6840:A6903" si="121">"250031"</f>
        <v>250031</v>
      </c>
      <c r="B6840" s="8" t="str">
        <f>"2561408010513"</f>
        <v>2561408010513</v>
      </c>
      <c r="C6840" s="8" t="s">
        <v>14</v>
      </c>
      <c r="D6840" s="9">
        <v>58.09</v>
      </c>
      <c r="E6840" s="8">
        <v>65</v>
      </c>
    </row>
    <row r="6841" s="3" customFormat="1" ht="18.75" spans="1:5">
      <c r="A6841" s="8" t="str">
        <f t="shared" si="121"/>
        <v>250031</v>
      </c>
      <c r="B6841" s="8" t="str">
        <f>"2561408010425"</f>
        <v>2561408010425</v>
      </c>
      <c r="C6841" s="8" t="s">
        <v>14</v>
      </c>
      <c r="D6841" s="9">
        <v>58.07</v>
      </c>
      <c r="E6841" s="8">
        <v>66</v>
      </c>
    </row>
    <row r="6842" s="3" customFormat="1" ht="18.75" spans="1:5">
      <c r="A6842" s="8" t="str">
        <f t="shared" si="121"/>
        <v>250031</v>
      </c>
      <c r="B6842" s="8" t="str">
        <f>"2561408011001"</f>
        <v>2561408011001</v>
      </c>
      <c r="C6842" s="8" t="s">
        <v>14</v>
      </c>
      <c r="D6842" s="9">
        <v>58.04</v>
      </c>
      <c r="E6842" s="8">
        <v>67</v>
      </c>
    </row>
    <row r="6843" s="3" customFormat="1" ht="18.75" spans="1:5">
      <c r="A6843" s="8" t="str">
        <f t="shared" si="121"/>
        <v>250031</v>
      </c>
      <c r="B6843" s="8" t="str">
        <f>"2561408011313"</f>
        <v>2561408011313</v>
      </c>
      <c r="C6843" s="8" t="s">
        <v>14</v>
      </c>
      <c r="D6843" s="9">
        <v>58.01</v>
      </c>
      <c r="E6843" s="8">
        <v>68</v>
      </c>
    </row>
    <row r="6844" s="3" customFormat="1" ht="18.75" spans="1:5">
      <c r="A6844" s="8" t="str">
        <f t="shared" si="121"/>
        <v>250031</v>
      </c>
      <c r="B6844" s="8" t="str">
        <f>"2561408010524"</f>
        <v>2561408010524</v>
      </c>
      <c r="C6844" s="8" t="s">
        <v>14</v>
      </c>
      <c r="D6844" s="9">
        <v>57.97</v>
      </c>
      <c r="E6844" s="8">
        <v>69</v>
      </c>
    </row>
    <row r="6845" s="3" customFormat="1" ht="18.75" spans="1:5">
      <c r="A6845" s="8" t="str">
        <f t="shared" si="121"/>
        <v>250031</v>
      </c>
      <c r="B6845" s="8" t="str">
        <f>"2561408010624"</f>
        <v>2561408010624</v>
      </c>
      <c r="C6845" s="8" t="s">
        <v>14</v>
      </c>
      <c r="D6845" s="9">
        <v>57.94</v>
      </c>
      <c r="E6845" s="8">
        <v>70</v>
      </c>
    </row>
    <row r="6846" s="3" customFormat="1" ht="18.75" spans="1:5">
      <c r="A6846" s="8" t="str">
        <f t="shared" si="121"/>
        <v>250031</v>
      </c>
      <c r="B6846" s="8" t="str">
        <f>"2561408010615"</f>
        <v>2561408010615</v>
      </c>
      <c r="C6846" s="8" t="s">
        <v>14</v>
      </c>
      <c r="D6846" s="9">
        <v>57.91</v>
      </c>
      <c r="E6846" s="8">
        <v>71</v>
      </c>
    </row>
    <row r="6847" s="3" customFormat="1" ht="18.75" spans="1:5">
      <c r="A6847" s="8" t="str">
        <f t="shared" si="121"/>
        <v>250031</v>
      </c>
      <c r="B6847" s="8" t="str">
        <f>"2561408010617"</f>
        <v>2561408010617</v>
      </c>
      <c r="C6847" s="8" t="s">
        <v>14</v>
      </c>
      <c r="D6847" s="9">
        <v>57.86</v>
      </c>
      <c r="E6847" s="8">
        <v>72</v>
      </c>
    </row>
    <row r="6848" s="3" customFormat="1" ht="18.75" spans="1:5">
      <c r="A6848" s="8" t="str">
        <f t="shared" si="121"/>
        <v>250031</v>
      </c>
      <c r="B6848" s="8" t="str">
        <f>"2561408010803"</f>
        <v>2561408010803</v>
      </c>
      <c r="C6848" s="8" t="s">
        <v>14</v>
      </c>
      <c r="D6848" s="9">
        <v>57.77</v>
      </c>
      <c r="E6848" s="8">
        <v>73</v>
      </c>
    </row>
    <row r="6849" s="3" customFormat="1" ht="18.75" spans="1:5">
      <c r="A6849" s="8" t="str">
        <f t="shared" si="121"/>
        <v>250031</v>
      </c>
      <c r="B6849" s="8" t="str">
        <f>"2561408011009"</f>
        <v>2561408011009</v>
      </c>
      <c r="C6849" s="8" t="s">
        <v>14</v>
      </c>
      <c r="D6849" s="9">
        <v>57.7</v>
      </c>
      <c r="E6849" s="8">
        <v>74</v>
      </c>
    </row>
    <row r="6850" s="3" customFormat="1" ht="18.75" spans="1:5">
      <c r="A6850" s="8" t="str">
        <f t="shared" si="121"/>
        <v>250031</v>
      </c>
      <c r="B6850" s="8" t="str">
        <f>"2561408010416"</f>
        <v>2561408010416</v>
      </c>
      <c r="C6850" s="8" t="s">
        <v>14</v>
      </c>
      <c r="D6850" s="9">
        <v>57.65</v>
      </c>
      <c r="E6850" s="8">
        <v>75</v>
      </c>
    </row>
    <row r="6851" s="3" customFormat="1" ht="18.75" spans="1:5">
      <c r="A6851" s="8" t="str">
        <f t="shared" si="121"/>
        <v>250031</v>
      </c>
      <c r="B6851" s="8" t="str">
        <f>"2561408011201"</f>
        <v>2561408011201</v>
      </c>
      <c r="C6851" s="8" t="s">
        <v>14</v>
      </c>
      <c r="D6851" s="9">
        <v>57.59</v>
      </c>
      <c r="E6851" s="8">
        <v>76</v>
      </c>
    </row>
    <row r="6852" s="3" customFormat="1" ht="18.75" spans="1:5">
      <c r="A6852" s="8" t="str">
        <f t="shared" si="121"/>
        <v>250031</v>
      </c>
      <c r="B6852" s="8" t="str">
        <f>"2561408011016"</f>
        <v>2561408011016</v>
      </c>
      <c r="C6852" s="8" t="s">
        <v>14</v>
      </c>
      <c r="D6852" s="9">
        <v>57.34</v>
      </c>
      <c r="E6852" s="8">
        <v>77</v>
      </c>
    </row>
    <row r="6853" s="3" customFormat="1" ht="18.75" spans="1:5">
      <c r="A6853" s="8" t="str">
        <f t="shared" si="121"/>
        <v>250031</v>
      </c>
      <c r="B6853" s="8" t="str">
        <f>"2561408010413"</f>
        <v>2561408010413</v>
      </c>
      <c r="C6853" s="8" t="s">
        <v>14</v>
      </c>
      <c r="D6853" s="9">
        <v>57.33</v>
      </c>
      <c r="E6853" s="8">
        <v>78</v>
      </c>
    </row>
    <row r="6854" s="3" customFormat="1" ht="18.75" spans="1:5">
      <c r="A6854" s="8" t="str">
        <f t="shared" si="121"/>
        <v>250031</v>
      </c>
      <c r="B6854" s="8" t="str">
        <f>"2561408011122"</f>
        <v>2561408011122</v>
      </c>
      <c r="C6854" s="8" t="s">
        <v>14</v>
      </c>
      <c r="D6854" s="9">
        <v>57.24</v>
      </c>
      <c r="E6854" s="8">
        <v>79</v>
      </c>
    </row>
    <row r="6855" s="3" customFormat="1" ht="18.75" spans="1:5">
      <c r="A6855" s="8" t="str">
        <f t="shared" si="121"/>
        <v>250031</v>
      </c>
      <c r="B6855" s="8" t="str">
        <f>"2561408010707"</f>
        <v>2561408010707</v>
      </c>
      <c r="C6855" s="8" t="s">
        <v>14</v>
      </c>
      <c r="D6855" s="9">
        <v>57.08</v>
      </c>
      <c r="E6855" s="8">
        <v>80</v>
      </c>
    </row>
    <row r="6856" s="3" customFormat="1" ht="18.75" spans="1:5">
      <c r="A6856" s="8" t="str">
        <f t="shared" si="121"/>
        <v>250031</v>
      </c>
      <c r="B6856" s="8" t="str">
        <f>"2561408011012"</f>
        <v>2561408011012</v>
      </c>
      <c r="C6856" s="8" t="s">
        <v>14</v>
      </c>
      <c r="D6856" s="9">
        <v>57.06</v>
      </c>
      <c r="E6856" s="8">
        <v>81</v>
      </c>
    </row>
    <row r="6857" s="3" customFormat="1" ht="18.75" spans="1:5">
      <c r="A6857" s="8" t="str">
        <f t="shared" si="121"/>
        <v>250031</v>
      </c>
      <c r="B6857" s="8" t="str">
        <f>"2561408011126"</f>
        <v>2561408011126</v>
      </c>
      <c r="C6857" s="8" t="s">
        <v>14</v>
      </c>
      <c r="D6857" s="9">
        <v>56.95</v>
      </c>
      <c r="E6857" s="8">
        <v>82</v>
      </c>
    </row>
    <row r="6858" s="3" customFormat="1" ht="18.75" spans="1:5">
      <c r="A6858" s="8" t="str">
        <f t="shared" si="121"/>
        <v>250031</v>
      </c>
      <c r="B6858" s="8" t="str">
        <f>"2561408010609"</f>
        <v>2561408010609</v>
      </c>
      <c r="C6858" s="8" t="s">
        <v>14</v>
      </c>
      <c r="D6858" s="9">
        <v>56.87</v>
      </c>
      <c r="E6858" s="8">
        <v>83</v>
      </c>
    </row>
    <row r="6859" s="3" customFormat="1" ht="18.75" spans="1:5">
      <c r="A6859" s="8" t="str">
        <f t="shared" si="121"/>
        <v>250031</v>
      </c>
      <c r="B6859" s="8" t="str">
        <f>"2561408010526"</f>
        <v>2561408010526</v>
      </c>
      <c r="C6859" s="8" t="s">
        <v>14</v>
      </c>
      <c r="D6859" s="9">
        <v>56.86</v>
      </c>
      <c r="E6859" s="8">
        <v>84</v>
      </c>
    </row>
    <row r="6860" s="3" customFormat="1" ht="18.75" spans="1:5">
      <c r="A6860" s="8" t="str">
        <f t="shared" si="121"/>
        <v>250031</v>
      </c>
      <c r="B6860" s="8" t="str">
        <f>"2561408011130"</f>
        <v>2561408011130</v>
      </c>
      <c r="C6860" s="8" t="s">
        <v>14</v>
      </c>
      <c r="D6860" s="9">
        <v>56.84</v>
      </c>
      <c r="E6860" s="8">
        <v>85</v>
      </c>
    </row>
    <row r="6861" s="3" customFormat="1" ht="18.75" spans="1:5">
      <c r="A6861" s="8" t="str">
        <f t="shared" si="121"/>
        <v>250031</v>
      </c>
      <c r="B6861" s="8" t="str">
        <f>"2561408011303"</f>
        <v>2561408011303</v>
      </c>
      <c r="C6861" s="8" t="s">
        <v>14</v>
      </c>
      <c r="D6861" s="9">
        <v>56.81</v>
      </c>
      <c r="E6861" s="8">
        <v>86</v>
      </c>
    </row>
    <row r="6862" s="3" customFormat="1" ht="18.75" spans="1:5">
      <c r="A6862" s="8" t="str">
        <f t="shared" si="121"/>
        <v>250031</v>
      </c>
      <c r="B6862" s="8" t="str">
        <f>"2561408010504"</f>
        <v>2561408010504</v>
      </c>
      <c r="C6862" s="8" t="s">
        <v>14</v>
      </c>
      <c r="D6862" s="9">
        <v>56.79</v>
      </c>
      <c r="E6862" s="8">
        <v>87</v>
      </c>
    </row>
    <row r="6863" s="3" customFormat="1" ht="18.75" spans="1:5">
      <c r="A6863" s="8" t="str">
        <f t="shared" si="121"/>
        <v>250031</v>
      </c>
      <c r="B6863" s="8" t="str">
        <f>"2561408010518"</f>
        <v>2561408010518</v>
      </c>
      <c r="C6863" s="8" t="s">
        <v>14</v>
      </c>
      <c r="D6863" s="9">
        <v>56.76</v>
      </c>
      <c r="E6863" s="8">
        <v>88</v>
      </c>
    </row>
    <row r="6864" s="3" customFormat="1" ht="18.75" spans="1:5">
      <c r="A6864" s="8" t="str">
        <f t="shared" si="121"/>
        <v>250031</v>
      </c>
      <c r="B6864" s="8" t="str">
        <f>"2561408010923"</f>
        <v>2561408010923</v>
      </c>
      <c r="C6864" s="8" t="s">
        <v>14</v>
      </c>
      <c r="D6864" s="9">
        <v>56.73</v>
      </c>
      <c r="E6864" s="8">
        <v>89</v>
      </c>
    </row>
    <row r="6865" s="3" customFormat="1" ht="18.75" spans="1:5">
      <c r="A6865" s="8" t="str">
        <f t="shared" si="121"/>
        <v>250031</v>
      </c>
      <c r="B6865" s="8" t="str">
        <f>"2561408010403"</f>
        <v>2561408010403</v>
      </c>
      <c r="C6865" s="8" t="s">
        <v>14</v>
      </c>
      <c r="D6865" s="9">
        <v>56.67</v>
      </c>
      <c r="E6865" s="8">
        <v>90</v>
      </c>
    </row>
    <row r="6866" s="3" customFormat="1" ht="18.75" spans="1:5">
      <c r="A6866" s="8" t="str">
        <f t="shared" si="121"/>
        <v>250031</v>
      </c>
      <c r="B6866" s="8" t="str">
        <f>"2561408010916"</f>
        <v>2561408010916</v>
      </c>
      <c r="C6866" s="8" t="s">
        <v>14</v>
      </c>
      <c r="D6866" s="9">
        <v>56.67</v>
      </c>
      <c r="E6866" s="8">
        <v>90</v>
      </c>
    </row>
    <row r="6867" s="3" customFormat="1" ht="18.75" spans="1:5">
      <c r="A6867" s="8" t="str">
        <f t="shared" si="121"/>
        <v>250031</v>
      </c>
      <c r="B6867" s="8" t="str">
        <f>"2561408011101"</f>
        <v>2561408011101</v>
      </c>
      <c r="C6867" s="8" t="s">
        <v>14</v>
      </c>
      <c r="D6867" s="9">
        <v>56.6</v>
      </c>
      <c r="E6867" s="8">
        <v>92</v>
      </c>
    </row>
    <row r="6868" s="3" customFormat="1" ht="18.75" spans="1:5">
      <c r="A6868" s="8" t="str">
        <f t="shared" si="121"/>
        <v>250031</v>
      </c>
      <c r="B6868" s="8" t="str">
        <f>"2561408010827"</f>
        <v>2561408010827</v>
      </c>
      <c r="C6868" s="8" t="s">
        <v>14</v>
      </c>
      <c r="D6868" s="9">
        <v>56.58</v>
      </c>
      <c r="E6868" s="8">
        <v>93</v>
      </c>
    </row>
    <row r="6869" s="3" customFormat="1" ht="18.75" spans="1:5">
      <c r="A6869" s="8" t="str">
        <f t="shared" si="121"/>
        <v>250031</v>
      </c>
      <c r="B6869" s="8" t="str">
        <f>"2561408010925"</f>
        <v>2561408010925</v>
      </c>
      <c r="C6869" s="8" t="s">
        <v>14</v>
      </c>
      <c r="D6869" s="9">
        <v>56.52</v>
      </c>
      <c r="E6869" s="8">
        <v>94</v>
      </c>
    </row>
    <row r="6870" s="3" customFormat="1" ht="18.75" spans="1:5">
      <c r="A6870" s="8" t="str">
        <f t="shared" si="121"/>
        <v>250031</v>
      </c>
      <c r="B6870" s="8" t="str">
        <f>"2561408010712"</f>
        <v>2561408010712</v>
      </c>
      <c r="C6870" s="8" t="s">
        <v>14</v>
      </c>
      <c r="D6870" s="9">
        <v>56.31</v>
      </c>
      <c r="E6870" s="8">
        <v>95</v>
      </c>
    </row>
    <row r="6871" s="3" customFormat="1" ht="18.75" spans="1:5">
      <c r="A6871" s="8" t="str">
        <f t="shared" si="121"/>
        <v>250031</v>
      </c>
      <c r="B6871" s="8" t="str">
        <f>"2561408011327"</f>
        <v>2561408011327</v>
      </c>
      <c r="C6871" s="8" t="s">
        <v>14</v>
      </c>
      <c r="D6871" s="9">
        <v>56.1</v>
      </c>
      <c r="E6871" s="8">
        <v>96</v>
      </c>
    </row>
    <row r="6872" s="3" customFormat="1" ht="18.75" spans="1:5">
      <c r="A6872" s="8" t="str">
        <f t="shared" si="121"/>
        <v>250031</v>
      </c>
      <c r="B6872" s="8" t="str">
        <f>"2561408011116"</f>
        <v>2561408011116</v>
      </c>
      <c r="C6872" s="8" t="s">
        <v>14</v>
      </c>
      <c r="D6872" s="9">
        <v>56.06</v>
      </c>
      <c r="E6872" s="8">
        <v>97</v>
      </c>
    </row>
    <row r="6873" s="3" customFormat="1" ht="18.75" spans="1:5">
      <c r="A6873" s="8" t="str">
        <f t="shared" si="121"/>
        <v>250031</v>
      </c>
      <c r="B6873" s="8" t="str">
        <f>"2561408011317"</f>
        <v>2561408011317</v>
      </c>
      <c r="C6873" s="8" t="s">
        <v>14</v>
      </c>
      <c r="D6873" s="9">
        <v>55.96</v>
      </c>
      <c r="E6873" s="8">
        <v>98</v>
      </c>
    </row>
    <row r="6874" s="3" customFormat="1" ht="18.75" spans="1:5">
      <c r="A6874" s="8" t="str">
        <f t="shared" si="121"/>
        <v>250031</v>
      </c>
      <c r="B6874" s="8" t="str">
        <f>"2561408010709"</f>
        <v>2561408010709</v>
      </c>
      <c r="C6874" s="8" t="s">
        <v>14</v>
      </c>
      <c r="D6874" s="9">
        <v>55.95</v>
      </c>
      <c r="E6874" s="8">
        <v>99</v>
      </c>
    </row>
    <row r="6875" s="3" customFormat="1" ht="18.75" spans="1:5">
      <c r="A6875" s="8" t="str">
        <f t="shared" si="121"/>
        <v>250031</v>
      </c>
      <c r="B6875" s="8" t="str">
        <f>"2561408011123"</f>
        <v>2561408011123</v>
      </c>
      <c r="C6875" s="8" t="s">
        <v>14</v>
      </c>
      <c r="D6875" s="9">
        <v>55.95</v>
      </c>
      <c r="E6875" s="8">
        <v>99</v>
      </c>
    </row>
    <row r="6876" s="3" customFormat="1" ht="18.75" spans="1:5">
      <c r="A6876" s="8" t="str">
        <f t="shared" si="121"/>
        <v>250031</v>
      </c>
      <c r="B6876" s="8" t="str">
        <f>"2561408010924"</f>
        <v>2561408010924</v>
      </c>
      <c r="C6876" s="8" t="s">
        <v>14</v>
      </c>
      <c r="D6876" s="9">
        <v>55.93</v>
      </c>
      <c r="E6876" s="8">
        <v>101</v>
      </c>
    </row>
    <row r="6877" s="3" customFormat="1" ht="18.75" spans="1:5">
      <c r="A6877" s="8" t="str">
        <f t="shared" si="121"/>
        <v>250031</v>
      </c>
      <c r="B6877" s="8" t="str">
        <f>"2561408010823"</f>
        <v>2561408010823</v>
      </c>
      <c r="C6877" s="8" t="s">
        <v>14</v>
      </c>
      <c r="D6877" s="9">
        <v>55.84</v>
      </c>
      <c r="E6877" s="8">
        <v>102</v>
      </c>
    </row>
    <row r="6878" s="3" customFormat="1" ht="18.75" spans="1:5">
      <c r="A6878" s="8" t="str">
        <f t="shared" si="121"/>
        <v>250031</v>
      </c>
      <c r="B6878" s="8" t="str">
        <f>"2561408010922"</f>
        <v>2561408010922</v>
      </c>
      <c r="C6878" s="8" t="s">
        <v>14</v>
      </c>
      <c r="D6878" s="9">
        <v>55.59</v>
      </c>
      <c r="E6878" s="8">
        <v>103</v>
      </c>
    </row>
    <row r="6879" s="3" customFormat="1" ht="18.75" spans="1:5">
      <c r="A6879" s="8" t="str">
        <f t="shared" si="121"/>
        <v>250031</v>
      </c>
      <c r="B6879" s="8" t="str">
        <f>"2561408010505"</f>
        <v>2561408010505</v>
      </c>
      <c r="C6879" s="8" t="s">
        <v>14</v>
      </c>
      <c r="D6879" s="9">
        <v>55.5</v>
      </c>
      <c r="E6879" s="8">
        <v>104</v>
      </c>
    </row>
    <row r="6880" s="3" customFormat="1" ht="18.75" spans="1:5">
      <c r="A6880" s="8" t="str">
        <f t="shared" si="121"/>
        <v>250031</v>
      </c>
      <c r="B6880" s="8" t="str">
        <f>"2561408010330"</f>
        <v>2561408010330</v>
      </c>
      <c r="C6880" s="8" t="s">
        <v>14</v>
      </c>
      <c r="D6880" s="9">
        <v>55.48</v>
      </c>
      <c r="E6880" s="8">
        <v>105</v>
      </c>
    </row>
    <row r="6881" s="3" customFormat="1" ht="18.75" spans="1:5">
      <c r="A6881" s="8" t="str">
        <f t="shared" si="121"/>
        <v>250031</v>
      </c>
      <c r="B6881" s="8" t="str">
        <f>"2561408010602"</f>
        <v>2561408010602</v>
      </c>
      <c r="C6881" s="8" t="s">
        <v>14</v>
      </c>
      <c r="D6881" s="9">
        <v>55.37</v>
      </c>
      <c r="E6881" s="8">
        <v>106</v>
      </c>
    </row>
    <row r="6882" s="3" customFormat="1" ht="18.75" spans="1:5">
      <c r="A6882" s="8" t="str">
        <f t="shared" si="121"/>
        <v>250031</v>
      </c>
      <c r="B6882" s="8" t="str">
        <f>"2561408010421"</f>
        <v>2561408010421</v>
      </c>
      <c r="C6882" s="8" t="s">
        <v>14</v>
      </c>
      <c r="D6882" s="9">
        <v>55.36</v>
      </c>
      <c r="E6882" s="8">
        <v>107</v>
      </c>
    </row>
    <row r="6883" s="3" customFormat="1" ht="18.75" spans="1:5">
      <c r="A6883" s="8" t="str">
        <f t="shared" si="121"/>
        <v>250031</v>
      </c>
      <c r="B6883" s="8" t="str">
        <f>"2561408011325"</f>
        <v>2561408011325</v>
      </c>
      <c r="C6883" s="8" t="s">
        <v>14</v>
      </c>
      <c r="D6883" s="9">
        <v>55.3</v>
      </c>
      <c r="E6883" s="8">
        <v>108</v>
      </c>
    </row>
    <row r="6884" s="3" customFormat="1" ht="18.75" spans="1:5">
      <c r="A6884" s="8" t="str">
        <f t="shared" si="121"/>
        <v>250031</v>
      </c>
      <c r="B6884" s="8" t="str">
        <f>"2561408011014"</f>
        <v>2561408011014</v>
      </c>
      <c r="C6884" s="8" t="s">
        <v>14</v>
      </c>
      <c r="D6884" s="9">
        <v>54.7</v>
      </c>
      <c r="E6884" s="8">
        <v>109</v>
      </c>
    </row>
    <row r="6885" s="3" customFormat="1" ht="18.75" spans="1:5">
      <c r="A6885" s="8" t="str">
        <f t="shared" si="121"/>
        <v>250031</v>
      </c>
      <c r="B6885" s="8" t="str">
        <f>"2561408010907"</f>
        <v>2561408010907</v>
      </c>
      <c r="C6885" s="8" t="s">
        <v>14</v>
      </c>
      <c r="D6885" s="9">
        <v>54.67</v>
      </c>
      <c r="E6885" s="8">
        <v>110</v>
      </c>
    </row>
    <row r="6886" s="3" customFormat="1" ht="18.75" spans="1:5">
      <c r="A6886" s="8" t="str">
        <f t="shared" si="121"/>
        <v>250031</v>
      </c>
      <c r="B6886" s="8" t="str">
        <f>"2561408010409"</f>
        <v>2561408010409</v>
      </c>
      <c r="C6886" s="8" t="s">
        <v>14</v>
      </c>
      <c r="D6886" s="9">
        <v>54.54</v>
      </c>
      <c r="E6886" s="8">
        <v>111</v>
      </c>
    </row>
    <row r="6887" s="3" customFormat="1" ht="18.75" spans="1:5">
      <c r="A6887" s="8" t="str">
        <f t="shared" si="121"/>
        <v>250031</v>
      </c>
      <c r="B6887" s="8" t="str">
        <f>"2561408011125"</f>
        <v>2561408011125</v>
      </c>
      <c r="C6887" s="8" t="s">
        <v>14</v>
      </c>
      <c r="D6887" s="9">
        <v>54.39</v>
      </c>
      <c r="E6887" s="8">
        <v>112</v>
      </c>
    </row>
    <row r="6888" s="3" customFormat="1" ht="18.75" spans="1:5">
      <c r="A6888" s="8" t="str">
        <f t="shared" si="121"/>
        <v>250031</v>
      </c>
      <c r="B6888" s="8" t="str">
        <f>"2561408011011"</f>
        <v>2561408011011</v>
      </c>
      <c r="C6888" s="8" t="s">
        <v>14</v>
      </c>
      <c r="D6888" s="9">
        <v>54.31</v>
      </c>
      <c r="E6888" s="8">
        <v>113</v>
      </c>
    </row>
    <row r="6889" s="3" customFormat="1" ht="18.75" spans="1:5">
      <c r="A6889" s="8" t="str">
        <f t="shared" si="121"/>
        <v>250031</v>
      </c>
      <c r="B6889" s="8" t="str">
        <f>"2561408010520"</f>
        <v>2561408010520</v>
      </c>
      <c r="C6889" s="8" t="s">
        <v>14</v>
      </c>
      <c r="D6889" s="9">
        <v>54.25</v>
      </c>
      <c r="E6889" s="8">
        <v>114</v>
      </c>
    </row>
    <row r="6890" s="3" customFormat="1" ht="18.75" spans="1:5">
      <c r="A6890" s="8" t="str">
        <f t="shared" si="121"/>
        <v>250031</v>
      </c>
      <c r="B6890" s="8" t="str">
        <f>"2561408010819"</f>
        <v>2561408010819</v>
      </c>
      <c r="C6890" s="8" t="s">
        <v>14</v>
      </c>
      <c r="D6890" s="9">
        <v>54.25</v>
      </c>
      <c r="E6890" s="8">
        <v>114</v>
      </c>
    </row>
    <row r="6891" s="3" customFormat="1" ht="18.75" spans="1:5">
      <c r="A6891" s="8" t="str">
        <f t="shared" si="121"/>
        <v>250031</v>
      </c>
      <c r="B6891" s="8" t="str">
        <f>"2561408010902"</f>
        <v>2561408010902</v>
      </c>
      <c r="C6891" s="8" t="s">
        <v>14</v>
      </c>
      <c r="D6891" s="9">
        <v>54.24</v>
      </c>
      <c r="E6891" s="8">
        <v>116</v>
      </c>
    </row>
    <row r="6892" s="3" customFormat="1" ht="18.75" spans="1:5">
      <c r="A6892" s="8" t="str">
        <f t="shared" si="121"/>
        <v>250031</v>
      </c>
      <c r="B6892" s="8" t="str">
        <f>"2561408010713"</f>
        <v>2561408010713</v>
      </c>
      <c r="C6892" s="8" t="s">
        <v>14</v>
      </c>
      <c r="D6892" s="9">
        <v>53.99</v>
      </c>
      <c r="E6892" s="8">
        <v>117</v>
      </c>
    </row>
    <row r="6893" s="3" customFormat="1" ht="18.75" spans="1:5">
      <c r="A6893" s="8" t="str">
        <f t="shared" si="121"/>
        <v>250031</v>
      </c>
      <c r="B6893" s="8" t="str">
        <f>"2561408010530"</f>
        <v>2561408010530</v>
      </c>
      <c r="C6893" s="8" t="s">
        <v>14</v>
      </c>
      <c r="D6893" s="9">
        <v>53.84</v>
      </c>
      <c r="E6893" s="8">
        <v>118</v>
      </c>
    </row>
    <row r="6894" s="3" customFormat="1" ht="18.75" spans="1:5">
      <c r="A6894" s="8" t="str">
        <f t="shared" si="121"/>
        <v>250031</v>
      </c>
      <c r="B6894" s="8" t="str">
        <f>"2561408010630"</f>
        <v>2561408010630</v>
      </c>
      <c r="C6894" s="8" t="s">
        <v>14</v>
      </c>
      <c r="D6894" s="9">
        <v>53.83</v>
      </c>
      <c r="E6894" s="8">
        <v>119</v>
      </c>
    </row>
    <row r="6895" s="3" customFormat="1" ht="18.75" spans="1:5">
      <c r="A6895" s="8" t="str">
        <f t="shared" si="121"/>
        <v>250031</v>
      </c>
      <c r="B6895" s="8" t="str">
        <f>"2561408010802"</f>
        <v>2561408010802</v>
      </c>
      <c r="C6895" s="8" t="s">
        <v>14</v>
      </c>
      <c r="D6895" s="9">
        <v>53.57</v>
      </c>
      <c r="E6895" s="8">
        <v>120</v>
      </c>
    </row>
    <row r="6896" s="3" customFormat="1" ht="18.75" spans="1:5">
      <c r="A6896" s="8" t="str">
        <f t="shared" si="121"/>
        <v>250031</v>
      </c>
      <c r="B6896" s="8" t="str">
        <f>"2561408010525"</f>
        <v>2561408010525</v>
      </c>
      <c r="C6896" s="8" t="s">
        <v>14</v>
      </c>
      <c r="D6896" s="9">
        <v>52.99</v>
      </c>
      <c r="E6896" s="8">
        <v>121</v>
      </c>
    </row>
    <row r="6897" s="3" customFormat="1" ht="18.75" spans="1:5">
      <c r="A6897" s="8" t="str">
        <f t="shared" si="121"/>
        <v>250031</v>
      </c>
      <c r="B6897" s="8" t="str">
        <f>"2561408010914"</f>
        <v>2561408010914</v>
      </c>
      <c r="C6897" s="8" t="s">
        <v>14</v>
      </c>
      <c r="D6897" s="9">
        <v>52.96</v>
      </c>
      <c r="E6897" s="8">
        <v>122</v>
      </c>
    </row>
    <row r="6898" s="3" customFormat="1" ht="18.75" spans="1:5">
      <c r="A6898" s="8" t="str">
        <f t="shared" si="121"/>
        <v>250031</v>
      </c>
      <c r="B6898" s="8" t="str">
        <f>"2561408010405"</f>
        <v>2561408010405</v>
      </c>
      <c r="C6898" s="8" t="s">
        <v>14</v>
      </c>
      <c r="D6898" s="9">
        <v>52.8</v>
      </c>
      <c r="E6898" s="8">
        <v>123</v>
      </c>
    </row>
    <row r="6899" s="3" customFormat="1" ht="18.75" spans="1:5">
      <c r="A6899" s="8" t="str">
        <f t="shared" si="121"/>
        <v>250031</v>
      </c>
      <c r="B6899" s="8" t="str">
        <f>"2561408010508"</f>
        <v>2561408010508</v>
      </c>
      <c r="C6899" s="8" t="s">
        <v>14</v>
      </c>
      <c r="D6899" s="9">
        <v>52.75</v>
      </c>
      <c r="E6899" s="8">
        <v>124</v>
      </c>
    </row>
    <row r="6900" s="3" customFormat="1" ht="18.75" spans="1:5">
      <c r="A6900" s="8" t="str">
        <f t="shared" si="121"/>
        <v>250031</v>
      </c>
      <c r="B6900" s="8" t="str">
        <f>"2561408010928"</f>
        <v>2561408010928</v>
      </c>
      <c r="C6900" s="8" t="s">
        <v>14</v>
      </c>
      <c r="D6900" s="9">
        <v>52.7</v>
      </c>
      <c r="E6900" s="8">
        <v>125</v>
      </c>
    </row>
    <row r="6901" s="3" customFormat="1" ht="18.75" spans="1:5">
      <c r="A6901" s="8" t="str">
        <f t="shared" si="121"/>
        <v>250031</v>
      </c>
      <c r="B6901" s="8" t="str">
        <f>"2561408011323"</f>
        <v>2561408011323</v>
      </c>
      <c r="C6901" s="8" t="s">
        <v>14</v>
      </c>
      <c r="D6901" s="9">
        <v>52.69</v>
      </c>
      <c r="E6901" s="8">
        <v>126</v>
      </c>
    </row>
    <row r="6902" s="3" customFormat="1" ht="18.75" spans="1:5">
      <c r="A6902" s="8" t="str">
        <f t="shared" si="121"/>
        <v>250031</v>
      </c>
      <c r="B6902" s="8" t="str">
        <f>"2561408010726"</f>
        <v>2561408010726</v>
      </c>
      <c r="C6902" s="8" t="s">
        <v>14</v>
      </c>
      <c r="D6902" s="9">
        <v>52.57</v>
      </c>
      <c r="E6902" s="8">
        <v>127</v>
      </c>
    </row>
    <row r="6903" s="3" customFormat="1" ht="18.75" spans="1:5">
      <c r="A6903" s="8" t="str">
        <f t="shared" si="121"/>
        <v>250031</v>
      </c>
      <c r="B6903" s="8" t="str">
        <f>"2561408011002"</f>
        <v>2561408011002</v>
      </c>
      <c r="C6903" s="8" t="s">
        <v>14</v>
      </c>
      <c r="D6903" s="9">
        <v>52.15</v>
      </c>
      <c r="E6903" s="8">
        <v>128</v>
      </c>
    </row>
    <row r="6904" s="3" customFormat="1" ht="18.75" spans="1:5">
      <c r="A6904" s="8" t="str">
        <f t="shared" ref="A6904:A6967" si="122">"250031"</f>
        <v>250031</v>
      </c>
      <c r="B6904" s="8" t="str">
        <f>"2561408011329"</f>
        <v>2561408011329</v>
      </c>
      <c r="C6904" s="8" t="s">
        <v>14</v>
      </c>
      <c r="D6904" s="9">
        <v>51.98</v>
      </c>
      <c r="E6904" s="8">
        <v>129</v>
      </c>
    </row>
    <row r="6905" s="3" customFormat="1" ht="18.75" spans="1:5">
      <c r="A6905" s="8" t="str">
        <f t="shared" si="122"/>
        <v>250031</v>
      </c>
      <c r="B6905" s="8" t="str">
        <f>"2561408010515"</f>
        <v>2561408010515</v>
      </c>
      <c r="C6905" s="8" t="s">
        <v>14</v>
      </c>
      <c r="D6905" s="9">
        <v>51.93</v>
      </c>
      <c r="E6905" s="8">
        <v>130</v>
      </c>
    </row>
    <row r="6906" s="3" customFormat="1" ht="18.75" spans="1:5">
      <c r="A6906" s="8" t="str">
        <f t="shared" si="122"/>
        <v>250031</v>
      </c>
      <c r="B6906" s="8" t="str">
        <f>"2561408010527"</f>
        <v>2561408010527</v>
      </c>
      <c r="C6906" s="8" t="s">
        <v>14</v>
      </c>
      <c r="D6906" s="9">
        <v>51.9</v>
      </c>
      <c r="E6906" s="8">
        <v>131</v>
      </c>
    </row>
    <row r="6907" s="3" customFormat="1" ht="18.75" spans="1:5">
      <c r="A6907" s="8" t="str">
        <f t="shared" si="122"/>
        <v>250031</v>
      </c>
      <c r="B6907" s="8" t="str">
        <f>"2561408010414"</f>
        <v>2561408010414</v>
      </c>
      <c r="C6907" s="8" t="s">
        <v>14</v>
      </c>
      <c r="D6907" s="9">
        <v>51.87</v>
      </c>
      <c r="E6907" s="8">
        <v>132</v>
      </c>
    </row>
    <row r="6908" s="3" customFormat="1" ht="18.75" spans="1:5">
      <c r="A6908" s="8" t="str">
        <f t="shared" si="122"/>
        <v>250031</v>
      </c>
      <c r="B6908" s="8" t="str">
        <f>"2561408011007"</f>
        <v>2561408011007</v>
      </c>
      <c r="C6908" s="8" t="s">
        <v>14</v>
      </c>
      <c r="D6908" s="9">
        <v>51.67</v>
      </c>
      <c r="E6908" s="8">
        <v>133</v>
      </c>
    </row>
    <row r="6909" s="3" customFormat="1" ht="18.75" spans="1:5">
      <c r="A6909" s="8" t="str">
        <f t="shared" si="122"/>
        <v>250031</v>
      </c>
      <c r="B6909" s="8" t="str">
        <f>"2561408011204"</f>
        <v>2561408011204</v>
      </c>
      <c r="C6909" s="8" t="s">
        <v>14</v>
      </c>
      <c r="D6909" s="9">
        <v>51.67</v>
      </c>
      <c r="E6909" s="8">
        <v>133</v>
      </c>
    </row>
    <row r="6910" s="3" customFormat="1" ht="18.75" spans="1:5">
      <c r="A6910" s="8" t="str">
        <f t="shared" si="122"/>
        <v>250031</v>
      </c>
      <c r="B6910" s="8" t="str">
        <f>"2561408011023"</f>
        <v>2561408011023</v>
      </c>
      <c r="C6910" s="8" t="s">
        <v>14</v>
      </c>
      <c r="D6910" s="9">
        <v>51.62</v>
      </c>
      <c r="E6910" s="8">
        <v>135</v>
      </c>
    </row>
    <row r="6911" s="3" customFormat="1" ht="18.75" spans="1:5">
      <c r="A6911" s="8" t="str">
        <f t="shared" si="122"/>
        <v>250031</v>
      </c>
      <c r="B6911" s="8" t="str">
        <f>"2561408010828"</f>
        <v>2561408010828</v>
      </c>
      <c r="C6911" s="8" t="s">
        <v>14</v>
      </c>
      <c r="D6911" s="9">
        <v>51.53</v>
      </c>
      <c r="E6911" s="8">
        <v>136</v>
      </c>
    </row>
    <row r="6912" s="3" customFormat="1" ht="18.75" spans="1:5">
      <c r="A6912" s="8" t="str">
        <f t="shared" si="122"/>
        <v>250031</v>
      </c>
      <c r="B6912" s="8" t="str">
        <f>"2561408010809"</f>
        <v>2561408010809</v>
      </c>
      <c r="C6912" s="8" t="s">
        <v>14</v>
      </c>
      <c r="D6912" s="9">
        <v>50.9</v>
      </c>
      <c r="E6912" s="8">
        <v>137</v>
      </c>
    </row>
    <row r="6913" s="3" customFormat="1" ht="18.75" spans="1:5">
      <c r="A6913" s="8" t="str">
        <f t="shared" si="122"/>
        <v>250031</v>
      </c>
      <c r="B6913" s="8" t="str">
        <f>"2561408010411"</f>
        <v>2561408010411</v>
      </c>
      <c r="C6913" s="8" t="s">
        <v>14</v>
      </c>
      <c r="D6913" s="9">
        <v>50.89</v>
      </c>
      <c r="E6913" s="8">
        <v>138</v>
      </c>
    </row>
    <row r="6914" s="3" customFormat="1" ht="18.75" spans="1:5">
      <c r="A6914" s="8" t="str">
        <f t="shared" si="122"/>
        <v>250031</v>
      </c>
      <c r="B6914" s="8" t="str">
        <f>"2561408010822"</f>
        <v>2561408010822</v>
      </c>
      <c r="C6914" s="8" t="s">
        <v>14</v>
      </c>
      <c r="D6914" s="9">
        <v>50.87</v>
      </c>
      <c r="E6914" s="8">
        <v>139</v>
      </c>
    </row>
    <row r="6915" s="3" customFormat="1" ht="18.75" spans="1:5">
      <c r="A6915" s="8" t="str">
        <f t="shared" si="122"/>
        <v>250031</v>
      </c>
      <c r="B6915" s="8" t="str">
        <f>"2561408011224"</f>
        <v>2561408011224</v>
      </c>
      <c r="C6915" s="8" t="s">
        <v>14</v>
      </c>
      <c r="D6915" s="9">
        <v>50.8</v>
      </c>
      <c r="E6915" s="8">
        <v>140</v>
      </c>
    </row>
    <row r="6916" s="3" customFormat="1" ht="18.75" spans="1:5">
      <c r="A6916" s="8" t="str">
        <f t="shared" si="122"/>
        <v>250031</v>
      </c>
      <c r="B6916" s="8" t="str">
        <f>"2561408011102"</f>
        <v>2561408011102</v>
      </c>
      <c r="C6916" s="8" t="s">
        <v>14</v>
      </c>
      <c r="D6916" s="9">
        <v>50.78</v>
      </c>
      <c r="E6916" s="8">
        <v>141</v>
      </c>
    </row>
    <row r="6917" s="3" customFormat="1" ht="18.75" spans="1:5">
      <c r="A6917" s="8" t="str">
        <f t="shared" si="122"/>
        <v>250031</v>
      </c>
      <c r="B6917" s="8" t="str">
        <f>"2561408011226"</f>
        <v>2561408011226</v>
      </c>
      <c r="C6917" s="8" t="s">
        <v>14</v>
      </c>
      <c r="D6917" s="9">
        <v>50.66</v>
      </c>
      <c r="E6917" s="8">
        <v>142</v>
      </c>
    </row>
    <row r="6918" s="3" customFormat="1" ht="18.75" spans="1:5">
      <c r="A6918" s="8" t="str">
        <f t="shared" si="122"/>
        <v>250031</v>
      </c>
      <c r="B6918" s="8" t="str">
        <f>"2561408011005"</f>
        <v>2561408011005</v>
      </c>
      <c r="C6918" s="8" t="s">
        <v>14</v>
      </c>
      <c r="D6918" s="9">
        <v>50.52</v>
      </c>
      <c r="E6918" s="8">
        <v>143</v>
      </c>
    </row>
    <row r="6919" s="3" customFormat="1" ht="18.75" spans="1:5">
      <c r="A6919" s="8" t="str">
        <f t="shared" si="122"/>
        <v>250031</v>
      </c>
      <c r="B6919" s="8" t="str">
        <f>"2561408011205"</f>
        <v>2561408011205</v>
      </c>
      <c r="C6919" s="8" t="s">
        <v>14</v>
      </c>
      <c r="D6919" s="9">
        <v>50.52</v>
      </c>
      <c r="E6919" s="8">
        <v>143</v>
      </c>
    </row>
    <row r="6920" s="3" customFormat="1" ht="18.75" spans="1:5">
      <c r="A6920" s="8" t="str">
        <f t="shared" si="122"/>
        <v>250031</v>
      </c>
      <c r="B6920" s="8" t="str">
        <f>"2561408010528"</f>
        <v>2561408010528</v>
      </c>
      <c r="C6920" s="8" t="s">
        <v>14</v>
      </c>
      <c r="D6920" s="9">
        <v>50.49</v>
      </c>
      <c r="E6920" s="8">
        <v>145</v>
      </c>
    </row>
    <row r="6921" s="3" customFormat="1" ht="18.75" spans="1:5">
      <c r="A6921" s="8" t="str">
        <f t="shared" si="122"/>
        <v>250031</v>
      </c>
      <c r="B6921" s="8" t="str">
        <f>"2561408011217"</f>
        <v>2561408011217</v>
      </c>
      <c r="C6921" s="8" t="s">
        <v>14</v>
      </c>
      <c r="D6921" s="9">
        <v>50.42</v>
      </c>
      <c r="E6921" s="8">
        <v>146</v>
      </c>
    </row>
    <row r="6922" s="3" customFormat="1" ht="18.75" spans="1:5">
      <c r="A6922" s="8" t="str">
        <f t="shared" si="122"/>
        <v>250031</v>
      </c>
      <c r="B6922" s="8" t="str">
        <f>"2561408011118"</f>
        <v>2561408011118</v>
      </c>
      <c r="C6922" s="8" t="s">
        <v>14</v>
      </c>
      <c r="D6922" s="9">
        <v>50.12</v>
      </c>
      <c r="E6922" s="8">
        <v>147</v>
      </c>
    </row>
    <row r="6923" s="3" customFormat="1" ht="18.75" spans="1:5">
      <c r="A6923" s="8" t="str">
        <f t="shared" si="122"/>
        <v>250031</v>
      </c>
      <c r="B6923" s="8" t="str">
        <f>"2561408010407"</f>
        <v>2561408010407</v>
      </c>
      <c r="C6923" s="8" t="s">
        <v>14</v>
      </c>
      <c r="D6923" s="9">
        <v>50.06</v>
      </c>
      <c r="E6923" s="8">
        <v>148</v>
      </c>
    </row>
    <row r="6924" s="3" customFormat="1" ht="18.75" spans="1:5">
      <c r="A6924" s="8" t="str">
        <f t="shared" si="122"/>
        <v>250031</v>
      </c>
      <c r="B6924" s="8" t="str">
        <f>"2561408011013"</f>
        <v>2561408011013</v>
      </c>
      <c r="C6924" s="8" t="s">
        <v>14</v>
      </c>
      <c r="D6924" s="9">
        <v>49.74</v>
      </c>
      <c r="E6924" s="8">
        <v>149</v>
      </c>
    </row>
    <row r="6925" s="3" customFormat="1" ht="18.75" spans="1:5">
      <c r="A6925" s="8" t="str">
        <f t="shared" si="122"/>
        <v>250031</v>
      </c>
      <c r="B6925" s="8" t="str">
        <f>"2561408010521"</f>
        <v>2561408010521</v>
      </c>
      <c r="C6925" s="8" t="s">
        <v>14</v>
      </c>
      <c r="D6925" s="9">
        <v>49.68</v>
      </c>
      <c r="E6925" s="8">
        <v>150</v>
      </c>
    </row>
    <row r="6926" s="3" customFormat="1" ht="18.75" spans="1:5">
      <c r="A6926" s="8" t="str">
        <f t="shared" si="122"/>
        <v>250031</v>
      </c>
      <c r="B6926" s="8" t="str">
        <f>"2561408010629"</f>
        <v>2561408010629</v>
      </c>
      <c r="C6926" s="8" t="s">
        <v>14</v>
      </c>
      <c r="D6926" s="9">
        <v>49.49</v>
      </c>
      <c r="E6926" s="8">
        <v>151</v>
      </c>
    </row>
    <row r="6927" s="3" customFormat="1" ht="18.75" spans="1:5">
      <c r="A6927" s="8" t="str">
        <f t="shared" si="122"/>
        <v>250031</v>
      </c>
      <c r="B6927" s="8" t="str">
        <f>"2561408011227"</f>
        <v>2561408011227</v>
      </c>
      <c r="C6927" s="8" t="s">
        <v>14</v>
      </c>
      <c r="D6927" s="9">
        <v>49.36</v>
      </c>
      <c r="E6927" s="8">
        <v>152</v>
      </c>
    </row>
    <row r="6928" s="3" customFormat="1" ht="18.75" spans="1:5">
      <c r="A6928" s="8" t="str">
        <f t="shared" si="122"/>
        <v>250031</v>
      </c>
      <c r="B6928" s="8" t="str">
        <f>"2561408011214"</f>
        <v>2561408011214</v>
      </c>
      <c r="C6928" s="8" t="s">
        <v>14</v>
      </c>
      <c r="D6928" s="9">
        <v>48.46</v>
      </c>
      <c r="E6928" s="8">
        <v>153</v>
      </c>
    </row>
    <row r="6929" s="3" customFormat="1" ht="18.75" spans="1:5">
      <c r="A6929" s="8" t="str">
        <f t="shared" si="122"/>
        <v>250031</v>
      </c>
      <c r="B6929" s="8" t="str">
        <f>"2561408011305"</f>
        <v>2561408011305</v>
      </c>
      <c r="C6929" s="8" t="s">
        <v>14</v>
      </c>
      <c r="D6929" s="9">
        <v>48.29</v>
      </c>
      <c r="E6929" s="8">
        <v>154</v>
      </c>
    </row>
    <row r="6930" s="3" customFormat="1" ht="18.75" spans="1:5">
      <c r="A6930" s="8" t="str">
        <f t="shared" si="122"/>
        <v>250031</v>
      </c>
      <c r="B6930" s="8" t="str">
        <f>"2561408011127"</f>
        <v>2561408011127</v>
      </c>
      <c r="C6930" s="8" t="s">
        <v>14</v>
      </c>
      <c r="D6930" s="9">
        <v>48.23</v>
      </c>
      <c r="E6930" s="8">
        <v>155</v>
      </c>
    </row>
    <row r="6931" s="3" customFormat="1" ht="18.75" spans="1:5">
      <c r="A6931" s="8" t="str">
        <f t="shared" si="122"/>
        <v>250031</v>
      </c>
      <c r="B6931" s="8" t="str">
        <f>"2561408010410"</f>
        <v>2561408010410</v>
      </c>
      <c r="C6931" s="8" t="s">
        <v>14</v>
      </c>
      <c r="D6931" s="9">
        <v>47.97</v>
      </c>
      <c r="E6931" s="8">
        <v>156</v>
      </c>
    </row>
    <row r="6932" s="3" customFormat="1" ht="18.75" spans="1:5">
      <c r="A6932" s="8" t="str">
        <f t="shared" si="122"/>
        <v>250031</v>
      </c>
      <c r="B6932" s="8" t="str">
        <f>"2561408010327"</f>
        <v>2561408010327</v>
      </c>
      <c r="C6932" s="8" t="s">
        <v>14</v>
      </c>
      <c r="D6932" s="9">
        <v>47.93</v>
      </c>
      <c r="E6932" s="8">
        <v>157</v>
      </c>
    </row>
    <row r="6933" s="3" customFormat="1" ht="18.75" spans="1:5">
      <c r="A6933" s="8" t="str">
        <f t="shared" si="122"/>
        <v>250031</v>
      </c>
      <c r="B6933" s="8" t="str">
        <f>"2561408010722"</f>
        <v>2561408010722</v>
      </c>
      <c r="C6933" s="8" t="s">
        <v>14</v>
      </c>
      <c r="D6933" s="9">
        <v>47.93</v>
      </c>
      <c r="E6933" s="8">
        <v>157</v>
      </c>
    </row>
    <row r="6934" s="3" customFormat="1" ht="18.75" spans="1:5">
      <c r="A6934" s="8" t="str">
        <f t="shared" si="122"/>
        <v>250031</v>
      </c>
      <c r="B6934" s="8" t="str">
        <f>"2561408011114"</f>
        <v>2561408011114</v>
      </c>
      <c r="C6934" s="8" t="s">
        <v>14</v>
      </c>
      <c r="D6934" s="9">
        <v>47.63</v>
      </c>
      <c r="E6934" s="8">
        <v>159</v>
      </c>
    </row>
    <row r="6935" s="3" customFormat="1" ht="18.75" spans="1:5">
      <c r="A6935" s="8" t="str">
        <f t="shared" si="122"/>
        <v>250031</v>
      </c>
      <c r="B6935" s="8" t="str">
        <f>"2561408010826"</f>
        <v>2561408010826</v>
      </c>
      <c r="C6935" s="8" t="s">
        <v>14</v>
      </c>
      <c r="D6935" s="9">
        <v>47.57</v>
      </c>
      <c r="E6935" s="8">
        <v>160</v>
      </c>
    </row>
    <row r="6936" s="3" customFormat="1" ht="18.75" spans="1:5">
      <c r="A6936" s="8" t="str">
        <f t="shared" si="122"/>
        <v>250031</v>
      </c>
      <c r="B6936" s="8" t="str">
        <f>"2561408011025"</f>
        <v>2561408011025</v>
      </c>
      <c r="C6936" s="8" t="s">
        <v>14</v>
      </c>
      <c r="D6936" s="9">
        <v>47.02</v>
      </c>
      <c r="E6936" s="8">
        <v>161</v>
      </c>
    </row>
    <row r="6937" s="3" customFormat="1" ht="18.75" spans="1:5">
      <c r="A6937" s="8" t="str">
        <f t="shared" si="122"/>
        <v>250031</v>
      </c>
      <c r="B6937" s="8" t="str">
        <f>"2561408010623"</f>
        <v>2561408010623</v>
      </c>
      <c r="C6937" s="8" t="s">
        <v>14</v>
      </c>
      <c r="D6937" s="9">
        <v>46.72</v>
      </c>
      <c r="E6937" s="8">
        <v>162</v>
      </c>
    </row>
    <row r="6938" s="3" customFormat="1" ht="18.75" spans="1:5">
      <c r="A6938" s="8" t="str">
        <f t="shared" si="122"/>
        <v>250031</v>
      </c>
      <c r="B6938" s="8" t="str">
        <f>"2561408011109"</f>
        <v>2561408011109</v>
      </c>
      <c r="C6938" s="8" t="s">
        <v>14</v>
      </c>
      <c r="D6938" s="9">
        <v>46.71</v>
      </c>
      <c r="E6938" s="8">
        <v>163</v>
      </c>
    </row>
    <row r="6939" s="3" customFormat="1" ht="18.75" spans="1:5">
      <c r="A6939" s="8" t="str">
        <f t="shared" si="122"/>
        <v>250031</v>
      </c>
      <c r="B6939" s="8" t="str">
        <f>"2561408011326"</f>
        <v>2561408011326</v>
      </c>
      <c r="C6939" s="8" t="s">
        <v>14</v>
      </c>
      <c r="D6939" s="9">
        <v>46.39</v>
      </c>
      <c r="E6939" s="8">
        <v>164</v>
      </c>
    </row>
    <row r="6940" s="3" customFormat="1" ht="18.75" spans="1:5">
      <c r="A6940" s="8" t="str">
        <f t="shared" si="122"/>
        <v>250031</v>
      </c>
      <c r="B6940" s="8" t="str">
        <f>"2561408010706"</f>
        <v>2561408010706</v>
      </c>
      <c r="C6940" s="8" t="s">
        <v>14</v>
      </c>
      <c r="D6940" s="9">
        <v>46.03</v>
      </c>
      <c r="E6940" s="8">
        <v>165</v>
      </c>
    </row>
    <row r="6941" s="3" customFormat="1" ht="18.75" spans="1:5">
      <c r="A6941" s="8" t="str">
        <f t="shared" si="122"/>
        <v>250031</v>
      </c>
      <c r="B6941" s="8" t="str">
        <f>"2561408011030"</f>
        <v>2561408011030</v>
      </c>
      <c r="C6941" s="8" t="s">
        <v>14</v>
      </c>
      <c r="D6941" s="9">
        <v>45.99</v>
      </c>
      <c r="E6941" s="8">
        <v>166</v>
      </c>
    </row>
    <row r="6942" s="3" customFormat="1" ht="18.75" spans="1:5">
      <c r="A6942" s="8" t="str">
        <f t="shared" si="122"/>
        <v>250031</v>
      </c>
      <c r="B6942" s="8" t="str">
        <f>"2561408011311"</f>
        <v>2561408011311</v>
      </c>
      <c r="C6942" s="8" t="s">
        <v>14</v>
      </c>
      <c r="D6942" s="9">
        <v>45.69</v>
      </c>
      <c r="E6942" s="8">
        <v>167</v>
      </c>
    </row>
    <row r="6943" s="3" customFormat="1" ht="18.75" spans="1:5">
      <c r="A6943" s="8" t="str">
        <f t="shared" si="122"/>
        <v>250031</v>
      </c>
      <c r="B6943" s="8" t="str">
        <f>"2561408010716"</f>
        <v>2561408010716</v>
      </c>
      <c r="C6943" s="8" t="s">
        <v>14</v>
      </c>
      <c r="D6943" s="9">
        <v>45.09</v>
      </c>
      <c r="E6943" s="8">
        <v>168</v>
      </c>
    </row>
    <row r="6944" s="3" customFormat="1" ht="18.75" spans="1:5">
      <c r="A6944" s="8" t="str">
        <f t="shared" si="122"/>
        <v>250031</v>
      </c>
      <c r="B6944" s="8" t="str">
        <f>"2561408011209"</f>
        <v>2561408011209</v>
      </c>
      <c r="C6944" s="8" t="s">
        <v>14</v>
      </c>
      <c r="D6944" s="9">
        <v>44.95</v>
      </c>
      <c r="E6944" s="8">
        <v>169</v>
      </c>
    </row>
    <row r="6945" s="3" customFormat="1" ht="18.75" spans="1:5">
      <c r="A6945" s="8" t="str">
        <f t="shared" si="122"/>
        <v>250031</v>
      </c>
      <c r="B6945" s="8" t="str">
        <f>"2561408011307"</f>
        <v>2561408011307</v>
      </c>
      <c r="C6945" s="8" t="s">
        <v>14</v>
      </c>
      <c r="D6945" s="9">
        <v>44.82</v>
      </c>
      <c r="E6945" s="8">
        <v>170</v>
      </c>
    </row>
    <row r="6946" s="3" customFormat="1" ht="18.75" spans="1:5">
      <c r="A6946" s="8" t="str">
        <f t="shared" si="122"/>
        <v>250031</v>
      </c>
      <c r="B6946" s="8" t="str">
        <f>"2561408011029"</f>
        <v>2561408011029</v>
      </c>
      <c r="C6946" s="8" t="s">
        <v>14</v>
      </c>
      <c r="D6946" s="9">
        <v>44.76</v>
      </c>
      <c r="E6946" s="8">
        <v>171</v>
      </c>
    </row>
    <row r="6947" s="3" customFormat="1" ht="18.75" spans="1:5">
      <c r="A6947" s="8" t="str">
        <f t="shared" si="122"/>
        <v>250031</v>
      </c>
      <c r="B6947" s="8" t="str">
        <f>"2561408010613"</f>
        <v>2561408010613</v>
      </c>
      <c r="C6947" s="8" t="s">
        <v>14</v>
      </c>
      <c r="D6947" s="9">
        <v>44.68</v>
      </c>
      <c r="E6947" s="8">
        <v>172</v>
      </c>
    </row>
    <row r="6948" s="3" customFormat="1" ht="18.75" spans="1:5">
      <c r="A6948" s="8" t="str">
        <f t="shared" si="122"/>
        <v>250031</v>
      </c>
      <c r="B6948" s="8" t="str">
        <f>"2561408010929"</f>
        <v>2561408010929</v>
      </c>
      <c r="C6948" s="8" t="s">
        <v>14</v>
      </c>
      <c r="D6948" s="9">
        <v>44.5</v>
      </c>
      <c r="E6948" s="8">
        <v>173</v>
      </c>
    </row>
    <row r="6949" s="3" customFormat="1" ht="18.75" spans="1:5">
      <c r="A6949" s="8" t="str">
        <f t="shared" si="122"/>
        <v>250031</v>
      </c>
      <c r="B6949" s="8" t="str">
        <f>"2561408010807"</f>
        <v>2561408010807</v>
      </c>
      <c r="C6949" s="8" t="s">
        <v>14</v>
      </c>
      <c r="D6949" s="9">
        <v>44.47</v>
      </c>
      <c r="E6949" s="8">
        <v>174</v>
      </c>
    </row>
    <row r="6950" s="3" customFormat="1" ht="18.75" spans="1:5">
      <c r="A6950" s="8" t="str">
        <f t="shared" si="122"/>
        <v>250031</v>
      </c>
      <c r="B6950" s="8" t="str">
        <f>"2561408011320"</f>
        <v>2561408011320</v>
      </c>
      <c r="C6950" s="8" t="s">
        <v>14</v>
      </c>
      <c r="D6950" s="9">
        <v>44.41</v>
      </c>
      <c r="E6950" s="8">
        <v>175</v>
      </c>
    </row>
    <row r="6951" s="3" customFormat="1" ht="18.75" spans="1:5">
      <c r="A6951" s="8" t="str">
        <f t="shared" si="122"/>
        <v>250031</v>
      </c>
      <c r="B6951" s="8" t="str">
        <f>"2561408011310"</f>
        <v>2561408011310</v>
      </c>
      <c r="C6951" s="8" t="s">
        <v>14</v>
      </c>
      <c r="D6951" s="9">
        <v>44.38</v>
      </c>
      <c r="E6951" s="8">
        <v>176</v>
      </c>
    </row>
    <row r="6952" s="3" customFormat="1" ht="18.75" spans="1:5">
      <c r="A6952" s="8" t="str">
        <f t="shared" si="122"/>
        <v>250031</v>
      </c>
      <c r="B6952" s="8" t="str">
        <f>"2561408010905"</f>
        <v>2561408010905</v>
      </c>
      <c r="C6952" s="8" t="s">
        <v>14</v>
      </c>
      <c r="D6952" s="9">
        <v>44</v>
      </c>
      <c r="E6952" s="8">
        <v>177</v>
      </c>
    </row>
    <row r="6953" s="3" customFormat="1" ht="18.75" spans="1:5">
      <c r="A6953" s="8" t="str">
        <f t="shared" si="122"/>
        <v>250031</v>
      </c>
      <c r="B6953" s="8" t="str">
        <f>"2561408010514"</f>
        <v>2561408010514</v>
      </c>
      <c r="C6953" s="8" t="s">
        <v>14</v>
      </c>
      <c r="D6953" s="9">
        <v>43.85</v>
      </c>
      <c r="E6953" s="8">
        <v>178</v>
      </c>
    </row>
    <row r="6954" s="3" customFormat="1" ht="18.75" spans="1:5">
      <c r="A6954" s="8" t="str">
        <f t="shared" si="122"/>
        <v>250031</v>
      </c>
      <c r="B6954" s="8" t="str">
        <f>"2561408010702"</f>
        <v>2561408010702</v>
      </c>
      <c r="C6954" s="8" t="s">
        <v>14</v>
      </c>
      <c r="D6954" s="9">
        <v>43.61</v>
      </c>
      <c r="E6954" s="8">
        <v>179</v>
      </c>
    </row>
    <row r="6955" s="3" customFormat="1" ht="18.75" spans="1:5">
      <c r="A6955" s="8" t="str">
        <f t="shared" si="122"/>
        <v>250031</v>
      </c>
      <c r="B6955" s="8" t="str">
        <f>"2561408010417"</f>
        <v>2561408010417</v>
      </c>
      <c r="C6955" s="8" t="s">
        <v>14</v>
      </c>
      <c r="D6955" s="9">
        <v>43.38</v>
      </c>
      <c r="E6955" s="8">
        <v>180</v>
      </c>
    </row>
    <row r="6956" s="3" customFormat="1" ht="18.75" spans="1:5">
      <c r="A6956" s="8" t="str">
        <f t="shared" si="122"/>
        <v>250031</v>
      </c>
      <c r="B6956" s="8" t="str">
        <f>"2561408010418"</f>
        <v>2561408010418</v>
      </c>
      <c r="C6956" s="8" t="s">
        <v>14</v>
      </c>
      <c r="D6956" s="9">
        <v>42.42</v>
      </c>
      <c r="E6956" s="8">
        <v>181</v>
      </c>
    </row>
    <row r="6957" s="3" customFormat="1" ht="18.75" spans="1:5">
      <c r="A6957" s="8" t="str">
        <f t="shared" si="122"/>
        <v>250031</v>
      </c>
      <c r="B6957" s="8" t="str">
        <f>"2561408011219"</f>
        <v>2561408011219</v>
      </c>
      <c r="C6957" s="8" t="s">
        <v>14</v>
      </c>
      <c r="D6957" s="9">
        <v>42.35</v>
      </c>
      <c r="E6957" s="8">
        <v>182</v>
      </c>
    </row>
    <row r="6958" s="3" customFormat="1" ht="18.75" spans="1:5">
      <c r="A6958" s="8" t="str">
        <f t="shared" si="122"/>
        <v>250031</v>
      </c>
      <c r="B6958" s="8" t="str">
        <f>"2561408010412"</f>
        <v>2561408010412</v>
      </c>
      <c r="C6958" s="8" t="s">
        <v>14</v>
      </c>
      <c r="D6958" s="9">
        <v>42.13</v>
      </c>
      <c r="E6958" s="8">
        <v>183</v>
      </c>
    </row>
    <row r="6959" s="3" customFormat="1" ht="18.75" spans="1:5">
      <c r="A6959" s="8" t="str">
        <f t="shared" si="122"/>
        <v>250031</v>
      </c>
      <c r="B6959" s="8" t="str">
        <f>"2561408011216"</f>
        <v>2561408011216</v>
      </c>
      <c r="C6959" s="8" t="s">
        <v>14</v>
      </c>
      <c r="D6959" s="9">
        <v>41.35</v>
      </c>
      <c r="E6959" s="8">
        <v>184</v>
      </c>
    </row>
    <row r="6960" s="3" customFormat="1" ht="18.75" spans="1:5">
      <c r="A6960" s="8" t="str">
        <f t="shared" si="122"/>
        <v>250031</v>
      </c>
      <c r="B6960" s="8" t="str">
        <f>"2561408010821"</f>
        <v>2561408010821</v>
      </c>
      <c r="C6960" s="8" t="s">
        <v>14</v>
      </c>
      <c r="D6960" s="9">
        <v>41.34</v>
      </c>
      <c r="E6960" s="8">
        <v>185</v>
      </c>
    </row>
    <row r="6961" s="3" customFormat="1" ht="18.75" spans="1:5">
      <c r="A6961" s="8" t="str">
        <f t="shared" si="122"/>
        <v>250031</v>
      </c>
      <c r="B6961" s="8" t="str">
        <f>"2561408011312"</f>
        <v>2561408011312</v>
      </c>
      <c r="C6961" s="8" t="s">
        <v>14</v>
      </c>
      <c r="D6961" s="9">
        <v>40.36</v>
      </c>
      <c r="E6961" s="8">
        <v>186</v>
      </c>
    </row>
    <row r="6962" s="3" customFormat="1" ht="18.75" spans="1:5">
      <c r="A6962" s="8" t="str">
        <f t="shared" si="122"/>
        <v>250031</v>
      </c>
      <c r="B6962" s="8" t="str">
        <f>"2561408010910"</f>
        <v>2561408010910</v>
      </c>
      <c r="C6962" s="8" t="s">
        <v>14</v>
      </c>
      <c r="D6962" s="9">
        <v>40.28</v>
      </c>
      <c r="E6962" s="8">
        <v>187</v>
      </c>
    </row>
    <row r="6963" s="3" customFormat="1" ht="18.75" spans="1:5">
      <c r="A6963" s="8" t="str">
        <f t="shared" si="122"/>
        <v>250031</v>
      </c>
      <c r="B6963" s="8" t="str">
        <f>"2561408010608"</f>
        <v>2561408010608</v>
      </c>
      <c r="C6963" s="8" t="s">
        <v>14</v>
      </c>
      <c r="D6963" s="9">
        <v>39.18</v>
      </c>
      <c r="E6963" s="8">
        <v>188</v>
      </c>
    </row>
    <row r="6964" s="3" customFormat="1" ht="18.75" spans="1:5">
      <c r="A6964" s="8" t="str">
        <f t="shared" si="122"/>
        <v>250031</v>
      </c>
      <c r="B6964" s="8" t="str">
        <f>"2561408011222"</f>
        <v>2561408011222</v>
      </c>
      <c r="C6964" s="8" t="s">
        <v>14</v>
      </c>
      <c r="D6964" s="9">
        <v>38.12</v>
      </c>
      <c r="E6964" s="8">
        <v>189</v>
      </c>
    </row>
    <row r="6965" s="3" customFormat="1" ht="18.75" spans="1:5">
      <c r="A6965" s="8" t="str">
        <f t="shared" si="122"/>
        <v>250031</v>
      </c>
      <c r="B6965" s="8" t="str">
        <f>"2561408011015"</f>
        <v>2561408011015</v>
      </c>
      <c r="C6965" s="8" t="s">
        <v>14</v>
      </c>
      <c r="D6965" s="9">
        <v>34.61</v>
      </c>
      <c r="E6965" s="8">
        <v>190</v>
      </c>
    </row>
    <row r="6966" s="3" customFormat="1" ht="18.75" spans="1:5">
      <c r="A6966" s="8" t="str">
        <f t="shared" si="122"/>
        <v>250031</v>
      </c>
      <c r="B6966" s="8" t="str">
        <f>"2561408010620"</f>
        <v>2561408010620</v>
      </c>
      <c r="C6966" s="8" t="s">
        <v>14</v>
      </c>
      <c r="D6966" s="9">
        <v>31.1</v>
      </c>
      <c r="E6966" s="8">
        <v>191</v>
      </c>
    </row>
    <row r="6967" s="3" customFormat="1" ht="18.75" spans="1:5">
      <c r="A6967" s="8" t="str">
        <f t="shared" si="122"/>
        <v>250031</v>
      </c>
      <c r="B6967" s="8" t="str">
        <f>"2561408011119"</f>
        <v>2561408011119</v>
      </c>
      <c r="C6967" s="8" t="s">
        <v>14</v>
      </c>
      <c r="D6967" s="9">
        <v>30.53</v>
      </c>
      <c r="E6967" s="8">
        <v>192</v>
      </c>
    </row>
    <row r="6968" s="3" customFormat="1" ht="18.75" spans="1:5">
      <c r="A6968" s="8" t="str">
        <f t="shared" ref="A6968:A7031" si="123">"250031"</f>
        <v>250031</v>
      </c>
      <c r="B6968" s="8" t="str">
        <f>"2561408010728"</f>
        <v>2561408010728</v>
      </c>
      <c r="C6968" s="8" t="s">
        <v>14</v>
      </c>
      <c r="D6968" s="9">
        <v>26.14</v>
      </c>
      <c r="E6968" s="8">
        <v>193</v>
      </c>
    </row>
    <row r="6969" s="3" customFormat="1" ht="18.75" spans="1:5">
      <c r="A6969" s="8" t="str">
        <f t="shared" si="123"/>
        <v>250031</v>
      </c>
      <c r="B6969" s="8" t="str">
        <f>"2561408010714"</f>
        <v>2561408010714</v>
      </c>
      <c r="C6969" s="8" t="s">
        <v>14</v>
      </c>
      <c r="D6969" s="9">
        <v>21.18</v>
      </c>
      <c r="E6969" s="8">
        <v>194</v>
      </c>
    </row>
    <row r="6970" s="3" customFormat="1" ht="18.75" spans="1:5">
      <c r="A6970" s="8" t="str">
        <f t="shared" si="123"/>
        <v>250031</v>
      </c>
      <c r="B6970" s="8" t="str">
        <f>"2561408010325"</f>
        <v>2561408010325</v>
      </c>
      <c r="C6970" s="8" t="s">
        <v>14</v>
      </c>
      <c r="D6970" s="9">
        <v>0</v>
      </c>
      <c r="E6970" s="8">
        <v>195</v>
      </c>
    </row>
    <row r="6971" s="3" customFormat="1" ht="18.75" spans="1:5">
      <c r="A6971" s="8" t="str">
        <f t="shared" si="123"/>
        <v>250031</v>
      </c>
      <c r="B6971" s="8" t="str">
        <f>"2561408010326"</f>
        <v>2561408010326</v>
      </c>
      <c r="C6971" s="8" t="s">
        <v>14</v>
      </c>
      <c r="D6971" s="9">
        <v>0</v>
      </c>
      <c r="E6971" s="8">
        <v>195</v>
      </c>
    </row>
    <row r="6972" s="3" customFormat="1" ht="18.75" spans="1:5">
      <c r="A6972" s="8" t="str">
        <f t="shared" si="123"/>
        <v>250031</v>
      </c>
      <c r="B6972" s="8" t="str">
        <f>"2561408010329"</f>
        <v>2561408010329</v>
      </c>
      <c r="C6972" s="8" t="s">
        <v>14</v>
      </c>
      <c r="D6972" s="9">
        <v>0</v>
      </c>
      <c r="E6972" s="8">
        <v>195</v>
      </c>
    </row>
    <row r="6973" s="3" customFormat="1" ht="18.75" spans="1:5">
      <c r="A6973" s="8" t="str">
        <f t="shared" si="123"/>
        <v>250031</v>
      </c>
      <c r="B6973" s="8" t="str">
        <f>"2561408010402"</f>
        <v>2561408010402</v>
      </c>
      <c r="C6973" s="8" t="s">
        <v>14</v>
      </c>
      <c r="D6973" s="9">
        <v>0</v>
      </c>
      <c r="E6973" s="8">
        <v>195</v>
      </c>
    </row>
    <row r="6974" s="3" customFormat="1" ht="18.75" spans="1:5">
      <c r="A6974" s="8" t="str">
        <f t="shared" si="123"/>
        <v>250031</v>
      </c>
      <c r="B6974" s="8" t="str">
        <f>"2561408010404"</f>
        <v>2561408010404</v>
      </c>
      <c r="C6974" s="8" t="s">
        <v>14</v>
      </c>
      <c r="D6974" s="9">
        <v>0</v>
      </c>
      <c r="E6974" s="8">
        <v>195</v>
      </c>
    </row>
    <row r="6975" s="3" customFormat="1" ht="18.75" spans="1:5">
      <c r="A6975" s="8" t="str">
        <f t="shared" si="123"/>
        <v>250031</v>
      </c>
      <c r="B6975" s="8" t="str">
        <f>"2561408010406"</f>
        <v>2561408010406</v>
      </c>
      <c r="C6975" s="8" t="s">
        <v>14</v>
      </c>
      <c r="D6975" s="9">
        <v>0</v>
      </c>
      <c r="E6975" s="8">
        <v>195</v>
      </c>
    </row>
    <row r="6976" s="3" customFormat="1" ht="18.75" spans="1:5">
      <c r="A6976" s="8" t="str">
        <f t="shared" si="123"/>
        <v>250031</v>
      </c>
      <c r="B6976" s="8" t="str">
        <f>"2561408010408"</f>
        <v>2561408010408</v>
      </c>
      <c r="C6976" s="8" t="s">
        <v>14</v>
      </c>
      <c r="D6976" s="9">
        <v>0</v>
      </c>
      <c r="E6976" s="8">
        <v>195</v>
      </c>
    </row>
    <row r="6977" s="3" customFormat="1" ht="18.75" spans="1:5">
      <c r="A6977" s="8" t="str">
        <f t="shared" si="123"/>
        <v>250031</v>
      </c>
      <c r="B6977" s="8" t="str">
        <f>"2561408010415"</f>
        <v>2561408010415</v>
      </c>
      <c r="C6977" s="8" t="s">
        <v>14</v>
      </c>
      <c r="D6977" s="9">
        <v>0</v>
      </c>
      <c r="E6977" s="8">
        <v>195</v>
      </c>
    </row>
    <row r="6978" s="3" customFormat="1" ht="18.75" spans="1:5">
      <c r="A6978" s="8" t="str">
        <f t="shared" si="123"/>
        <v>250031</v>
      </c>
      <c r="B6978" s="8" t="str">
        <f>"2561408010423"</f>
        <v>2561408010423</v>
      </c>
      <c r="C6978" s="8" t="s">
        <v>14</v>
      </c>
      <c r="D6978" s="9">
        <v>0</v>
      </c>
      <c r="E6978" s="8">
        <v>195</v>
      </c>
    </row>
    <row r="6979" s="3" customFormat="1" ht="18.75" spans="1:5">
      <c r="A6979" s="8" t="str">
        <f t="shared" si="123"/>
        <v>250031</v>
      </c>
      <c r="B6979" s="8" t="str">
        <f>"2561408010427"</f>
        <v>2561408010427</v>
      </c>
      <c r="C6979" s="8" t="s">
        <v>14</v>
      </c>
      <c r="D6979" s="9">
        <v>0</v>
      </c>
      <c r="E6979" s="8">
        <v>195</v>
      </c>
    </row>
    <row r="6980" s="3" customFormat="1" ht="18.75" spans="1:5">
      <c r="A6980" s="8" t="str">
        <f t="shared" si="123"/>
        <v>250031</v>
      </c>
      <c r="B6980" s="8" t="str">
        <f>"2561408010428"</f>
        <v>2561408010428</v>
      </c>
      <c r="C6980" s="8" t="s">
        <v>14</v>
      </c>
      <c r="D6980" s="9">
        <v>0</v>
      </c>
      <c r="E6980" s="8">
        <v>195</v>
      </c>
    </row>
    <row r="6981" s="3" customFormat="1" ht="18.75" spans="1:5">
      <c r="A6981" s="8" t="str">
        <f t="shared" si="123"/>
        <v>250031</v>
      </c>
      <c r="B6981" s="8" t="str">
        <f>"2561408010429"</f>
        <v>2561408010429</v>
      </c>
      <c r="C6981" s="8" t="s">
        <v>14</v>
      </c>
      <c r="D6981" s="9">
        <v>0</v>
      </c>
      <c r="E6981" s="8">
        <v>195</v>
      </c>
    </row>
    <row r="6982" s="3" customFormat="1" ht="18.75" spans="1:5">
      <c r="A6982" s="8" t="str">
        <f t="shared" si="123"/>
        <v>250031</v>
      </c>
      <c r="B6982" s="8" t="str">
        <f>"2561408010430"</f>
        <v>2561408010430</v>
      </c>
      <c r="C6982" s="8" t="s">
        <v>14</v>
      </c>
      <c r="D6982" s="9">
        <v>0</v>
      </c>
      <c r="E6982" s="8">
        <v>195</v>
      </c>
    </row>
    <row r="6983" s="3" customFormat="1" ht="18.75" spans="1:5">
      <c r="A6983" s="8" t="str">
        <f t="shared" si="123"/>
        <v>250031</v>
      </c>
      <c r="B6983" s="8" t="str">
        <f>"2561408010501"</f>
        <v>2561408010501</v>
      </c>
      <c r="C6983" s="8" t="s">
        <v>14</v>
      </c>
      <c r="D6983" s="9">
        <v>0</v>
      </c>
      <c r="E6983" s="8">
        <v>195</v>
      </c>
    </row>
    <row r="6984" s="3" customFormat="1" ht="18.75" spans="1:5">
      <c r="A6984" s="8" t="str">
        <f t="shared" si="123"/>
        <v>250031</v>
      </c>
      <c r="B6984" s="8" t="str">
        <f>"2561408010503"</f>
        <v>2561408010503</v>
      </c>
      <c r="C6984" s="8" t="s">
        <v>14</v>
      </c>
      <c r="D6984" s="9">
        <v>0</v>
      </c>
      <c r="E6984" s="8">
        <v>195</v>
      </c>
    </row>
    <row r="6985" s="3" customFormat="1" ht="18.75" spans="1:5">
      <c r="A6985" s="8" t="str">
        <f t="shared" si="123"/>
        <v>250031</v>
      </c>
      <c r="B6985" s="8" t="str">
        <f>"2561408010509"</f>
        <v>2561408010509</v>
      </c>
      <c r="C6985" s="8" t="s">
        <v>14</v>
      </c>
      <c r="D6985" s="9">
        <v>0</v>
      </c>
      <c r="E6985" s="8">
        <v>195</v>
      </c>
    </row>
    <row r="6986" s="3" customFormat="1" ht="18.75" spans="1:5">
      <c r="A6986" s="8" t="str">
        <f t="shared" si="123"/>
        <v>250031</v>
      </c>
      <c r="B6986" s="8" t="str">
        <f>"2561408010511"</f>
        <v>2561408010511</v>
      </c>
      <c r="C6986" s="8" t="s">
        <v>14</v>
      </c>
      <c r="D6986" s="9">
        <v>0</v>
      </c>
      <c r="E6986" s="8">
        <v>195</v>
      </c>
    </row>
    <row r="6987" s="3" customFormat="1" ht="18.75" spans="1:5">
      <c r="A6987" s="8" t="str">
        <f t="shared" si="123"/>
        <v>250031</v>
      </c>
      <c r="B6987" s="8" t="str">
        <f>"2561408010512"</f>
        <v>2561408010512</v>
      </c>
      <c r="C6987" s="8" t="s">
        <v>14</v>
      </c>
      <c r="D6987" s="9">
        <v>0</v>
      </c>
      <c r="E6987" s="8">
        <v>195</v>
      </c>
    </row>
    <row r="6988" s="3" customFormat="1" ht="18.75" spans="1:5">
      <c r="A6988" s="8" t="str">
        <f t="shared" si="123"/>
        <v>250031</v>
      </c>
      <c r="B6988" s="8" t="str">
        <f>"2561408010516"</f>
        <v>2561408010516</v>
      </c>
      <c r="C6988" s="8" t="s">
        <v>14</v>
      </c>
      <c r="D6988" s="9">
        <v>0</v>
      </c>
      <c r="E6988" s="8">
        <v>195</v>
      </c>
    </row>
    <row r="6989" s="3" customFormat="1" ht="18.75" spans="1:5">
      <c r="A6989" s="8" t="str">
        <f t="shared" si="123"/>
        <v>250031</v>
      </c>
      <c r="B6989" s="8" t="str">
        <f>"2561408010523"</f>
        <v>2561408010523</v>
      </c>
      <c r="C6989" s="8" t="s">
        <v>14</v>
      </c>
      <c r="D6989" s="9">
        <v>0</v>
      </c>
      <c r="E6989" s="8">
        <v>195</v>
      </c>
    </row>
    <row r="6990" s="3" customFormat="1" ht="18.75" spans="1:5">
      <c r="A6990" s="8" t="str">
        <f t="shared" si="123"/>
        <v>250031</v>
      </c>
      <c r="B6990" s="8" t="str">
        <f>"2561408010529"</f>
        <v>2561408010529</v>
      </c>
      <c r="C6990" s="8" t="s">
        <v>14</v>
      </c>
      <c r="D6990" s="9">
        <v>0</v>
      </c>
      <c r="E6990" s="8">
        <v>195</v>
      </c>
    </row>
    <row r="6991" s="3" customFormat="1" ht="18.75" spans="1:5">
      <c r="A6991" s="8" t="str">
        <f t="shared" si="123"/>
        <v>250031</v>
      </c>
      <c r="B6991" s="8" t="str">
        <f>"2561408010601"</f>
        <v>2561408010601</v>
      </c>
      <c r="C6991" s="8" t="s">
        <v>14</v>
      </c>
      <c r="D6991" s="9">
        <v>0</v>
      </c>
      <c r="E6991" s="8">
        <v>195</v>
      </c>
    </row>
    <row r="6992" s="3" customFormat="1" ht="18.75" spans="1:5">
      <c r="A6992" s="8" t="str">
        <f t="shared" si="123"/>
        <v>250031</v>
      </c>
      <c r="B6992" s="8" t="str">
        <f>"2561408010603"</f>
        <v>2561408010603</v>
      </c>
      <c r="C6992" s="8" t="s">
        <v>14</v>
      </c>
      <c r="D6992" s="9">
        <v>0</v>
      </c>
      <c r="E6992" s="8">
        <v>195</v>
      </c>
    </row>
    <row r="6993" s="3" customFormat="1" ht="18.75" spans="1:5">
      <c r="A6993" s="8" t="str">
        <f t="shared" si="123"/>
        <v>250031</v>
      </c>
      <c r="B6993" s="8" t="str">
        <f>"2561408010604"</f>
        <v>2561408010604</v>
      </c>
      <c r="C6993" s="8" t="s">
        <v>14</v>
      </c>
      <c r="D6993" s="9">
        <v>0</v>
      </c>
      <c r="E6993" s="8">
        <v>195</v>
      </c>
    </row>
    <row r="6994" s="3" customFormat="1" ht="18.75" spans="1:5">
      <c r="A6994" s="8" t="str">
        <f t="shared" si="123"/>
        <v>250031</v>
      </c>
      <c r="B6994" s="8" t="str">
        <f>"2561408010605"</f>
        <v>2561408010605</v>
      </c>
      <c r="C6994" s="8" t="s">
        <v>14</v>
      </c>
      <c r="D6994" s="9">
        <v>0</v>
      </c>
      <c r="E6994" s="8">
        <v>195</v>
      </c>
    </row>
    <row r="6995" s="3" customFormat="1" ht="18.75" spans="1:5">
      <c r="A6995" s="8" t="str">
        <f t="shared" si="123"/>
        <v>250031</v>
      </c>
      <c r="B6995" s="8" t="str">
        <f>"2561408010606"</f>
        <v>2561408010606</v>
      </c>
      <c r="C6995" s="8" t="s">
        <v>14</v>
      </c>
      <c r="D6995" s="9">
        <v>0</v>
      </c>
      <c r="E6995" s="8">
        <v>195</v>
      </c>
    </row>
    <row r="6996" s="3" customFormat="1" ht="18.75" spans="1:5">
      <c r="A6996" s="8" t="str">
        <f t="shared" si="123"/>
        <v>250031</v>
      </c>
      <c r="B6996" s="8" t="str">
        <f>"2561408010607"</f>
        <v>2561408010607</v>
      </c>
      <c r="C6996" s="8" t="s">
        <v>14</v>
      </c>
      <c r="D6996" s="9">
        <v>0</v>
      </c>
      <c r="E6996" s="8">
        <v>195</v>
      </c>
    </row>
    <row r="6997" s="3" customFormat="1" ht="18.75" spans="1:5">
      <c r="A6997" s="8" t="str">
        <f t="shared" si="123"/>
        <v>250031</v>
      </c>
      <c r="B6997" s="8" t="str">
        <f>"2561408010610"</f>
        <v>2561408010610</v>
      </c>
      <c r="C6997" s="8" t="s">
        <v>14</v>
      </c>
      <c r="D6997" s="9">
        <v>0</v>
      </c>
      <c r="E6997" s="8">
        <v>195</v>
      </c>
    </row>
    <row r="6998" s="3" customFormat="1" ht="18.75" spans="1:5">
      <c r="A6998" s="8" t="str">
        <f t="shared" si="123"/>
        <v>250031</v>
      </c>
      <c r="B6998" s="8" t="str">
        <f>"2561408010611"</f>
        <v>2561408010611</v>
      </c>
      <c r="C6998" s="8" t="s">
        <v>14</v>
      </c>
      <c r="D6998" s="9">
        <v>0</v>
      </c>
      <c r="E6998" s="8">
        <v>195</v>
      </c>
    </row>
    <row r="6999" s="3" customFormat="1" ht="18.75" spans="1:5">
      <c r="A6999" s="8" t="str">
        <f t="shared" si="123"/>
        <v>250031</v>
      </c>
      <c r="B6999" s="8" t="str">
        <f>"2561408010614"</f>
        <v>2561408010614</v>
      </c>
      <c r="C6999" s="8" t="s">
        <v>14</v>
      </c>
      <c r="D6999" s="9">
        <v>0</v>
      </c>
      <c r="E6999" s="8">
        <v>195</v>
      </c>
    </row>
    <row r="7000" s="3" customFormat="1" ht="18.75" spans="1:5">
      <c r="A7000" s="8" t="str">
        <f t="shared" si="123"/>
        <v>250031</v>
      </c>
      <c r="B7000" s="8" t="str">
        <f>"2561408010618"</f>
        <v>2561408010618</v>
      </c>
      <c r="C7000" s="8" t="s">
        <v>14</v>
      </c>
      <c r="D7000" s="9">
        <v>0</v>
      </c>
      <c r="E7000" s="8">
        <v>195</v>
      </c>
    </row>
    <row r="7001" s="3" customFormat="1" ht="18.75" spans="1:5">
      <c r="A7001" s="8" t="str">
        <f t="shared" si="123"/>
        <v>250031</v>
      </c>
      <c r="B7001" s="8" t="str">
        <f>"2561408010619"</f>
        <v>2561408010619</v>
      </c>
      <c r="C7001" s="8" t="s">
        <v>14</v>
      </c>
      <c r="D7001" s="9">
        <v>0</v>
      </c>
      <c r="E7001" s="8">
        <v>195</v>
      </c>
    </row>
    <row r="7002" s="3" customFormat="1" ht="18.75" spans="1:5">
      <c r="A7002" s="8" t="str">
        <f t="shared" si="123"/>
        <v>250031</v>
      </c>
      <c r="B7002" s="8" t="str">
        <f>"2561408010621"</f>
        <v>2561408010621</v>
      </c>
      <c r="C7002" s="8" t="s">
        <v>14</v>
      </c>
      <c r="D7002" s="9">
        <v>0</v>
      </c>
      <c r="E7002" s="8">
        <v>195</v>
      </c>
    </row>
    <row r="7003" s="3" customFormat="1" ht="18.75" spans="1:5">
      <c r="A7003" s="8" t="str">
        <f t="shared" si="123"/>
        <v>250031</v>
      </c>
      <c r="B7003" s="8" t="str">
        <f>"2561408010625"</f>
        <v>2561408010625</v>
      </c>
      <c r="C7003" s="8" t="s">
        <v>14</v>
      </c>
      <c r="D7003" s="9">
        <v>0</v>
      </c>
      <c r="E7003" s="8">
        <v>195</v>
      </c>
    </row>
    <row r="7004" s="3" customFormat="1" ht="18.75" spans="1:5">
      <c r="A7004" s="8" t="str">
        <f t="shared" si="123"/>
        <v>250031</v>
      </c>
      <c r="B7004" s="8" t="str">
        <f>"2561408010626"</f>
        <v>2561408010626</v>
      </c>
      <c r="C7004" s="8" t="s">
        <v>14</v>
      </c>
      <c r="D7004" s="9">
        <v>0</v>
      </c>
      <c r="E7004" s="8">
        <v>195</v>
      </c>
    </row>
    <row r="7005" s="3" customFormat="1" ht="18.75" spans="1:5">
      <c r="A7005" s="8" t="str">
        <f t="shared" si="123"/>
        <v>250031</v>
      </c>
      <c r="B7005" s="8" t="str">
        <f>"2561408010701"</f>
        <v>2561408010701</v>
      </c>
      <c r="C7005" s="8" t="s">
        <v>14</v>
      </c>
      <c r="D7005" s="9">
        <v>0</v>
      </c>
      <c r="E7005" s="8">
        <v>195</v>
      </c>
    </row>
    <row r="7006" s="3" customFormat="1" ht="18.75" spans="1:5">
      <c r="A7006" s="8" t="str">
        <f t="shared" si="123"/>
        <v>250031</v>
      </c>
      <c r="B7006" s="8" t="str">
        <f>"2561408010704"</f>
        <v>2561408010704</v>
      </c>
      <c r="C7006" s="8" t="s">
        <v>14</v>
      </c>
      <c r="D7006" s="9">
        <v>0</v>
      </c>
      <c r="E7006" s="8">
        <v>195</v>
      </c>
    </row>
    <row r="7007" s="3" customFormat="1" ht="18.75" spans="1:5">
      <c r="A7007" s="8" t="str">
        <f t="shared" si="123"/>
        <v>250031</v>
      </c>
      <c r="B7007" s="8" t="str">
        <f>"2561408010705"</f>
        <v>2561408010705</v>
      </c>
      <c r="C7007" s="8" t="s">
        <v>14</v>
      </c>
      <c r="D7007" s="9">
        <v>0</v>
      </c>
      <c r="E7007" s="8">
        <v>195</v>
      </c>
    </row>
    <row r="7008" s="3" customFormat="1" ht="18.75" spans="1:5">
      <c r="A7008" s="8" t="str">
        <f t="shared" si="123"/>
        <v>250031</v>
      </c>
      <c r="B7008" s="8" t="str">
        <f>"2561408010708"</f>
        <v>2561408010708</v>
      </c>
      <c r="C7008" s="8" t="s">
        <v>14</v>
      </c>
      <c r="D7008" s="9">
        <v>0</v>
      </c>
      <c r="E7008" s="8">
        <v>195</v>
      </c>
    </row>
    <row r="7009" s="3" customFormat="1" ht="18.75" spans="1:5">
      <c r="A7009" s="8" t="str">
        <f t="shared" si="123"/>
        <v>250031</v>
      </c>
      <c r="B7009" s="8" t="str">
        <f>"2561408010711"</f>
        <v>2561408010711</v>
      </c>
      <c r="C7009" s="8" t="s">
        <v>14</v>
      </c>
      <c r="D7009" s="9">
        <v>0</v>
      </c>
      <c r="E7009" s="8">
        <v>195</v>
      </c>
    </row>
    <row r="7010" s="3" customFormat="1" ht="18.75" spans="1:5">
      <c r="A7010" s="8" t="str">
        <f t="shared" si="123"/>
        <v>250031</v>
      </c>
      <c r="B7010" s="8" t="str">
        <f>"2561408010715"</f>
        <v>2561408010715</v>
      </c>
      <c r="C7010" s="8" t="s">
        <v>14</v>
      </c>
      <c r="D7010" s="9">
        <v>0</v>
      </c>
      <c r="E7010" s="8">
        <v>195</v>
      </c>
    </row>
    <row r="7011" s="3" customFormat="1" ht="18.75" spans="1:5">
      <c r="A7011" s="8" t="str">
        <f t="shared" si="123"/>
        <v>250031</v>
      </c>
      <c r="B7011" s="8" t="str">
        <f>"2561408010717"</f>
        <v>2561408010717</v>
      </c>
      <c r="C7011" s="8" t="s">
        <v>14</v>
      </c>
      <c r="D7011" s="9">
        <v>0</v>
      </c>
      <c r="E7011" s="8">
        <v>195</v>
      </c>
    </row>
    <row r="7012" s="3" customFormat="1" ht="18.75" spans="1:5">
      <c r="A7012" s="8" t="str">
        <f t="shared" si="123"/>
        <v>250031</v>
      </c>
      <c r="B7012" s="8" t="str">
        <f>"2561408010719"</f>
        <v>2561408010719</v>
      </c>
      <c r="C7012" s="8" t="s">
        <v>14</v>
      </c>
      <c r="D7012" s="9">
        <v>0</v>
      </c>
      <c r="E7012" s="8">
        <v>195</v>
      </c>
    </row>
    <row r="7013" s="3" customFormat="1" ht="18.75" spans="1:5">
      <c r="A7013" s="8" t="str">
        <f t="shared" si="123"/>
        <v>250031</v>
      </c>
      <c r="B7013" s="8" t="str">
        <f>"2561408010720"</f>
        <v>2561408010720</v>
      </c>
      <c r="C7013" s="8" t="s">
        <v>14</v>
      </c>
      <c r="D7013" s="9">
        <v>0</v>
      </c>
      <c r="E7013" s="8">
        <v>195</v>
      </c>
    </row>
    <row r="7014" s="3" customFormat="1" ht="18.75" spans="1:5">
      <c r="A7014" s="8" t="str">
        <f t="shared" si="123"/>
        <v>250031</v>
      </c>
      <c r="B7014" s="8" t="str">
        <f>"2561408010721"</f>
        <v>2561408010721</v>
      </c>
      <c r="C7014" s="8" t="s">
        <v>14</v>
      </c>
      <c r="D7014" s="9">
        <v>0</v>
      </c>
      <c r="E7014" s="8">
        <v>195</v>
      </c>
    </row>
    <row r="7015" s="3" customFormat="1" ht="18.75" spans="1:5">
      <c r="A7015" s="8" t="str">
        <f t="shared" si="123"/>
        <v>250031</v>
      </c>
      <c r="B7015" s="8" t="str">
        <f>"2561408010725"</f>
        <v>2561408010725</v>
      </c>
      <c r="C7015" s="8" t="s">
        <v>14</v>
      </c>
      <c r="D7015" s="9">
        <v>0</v>
      </c>
      <c r="E7015" s="8">
        <v>195</v>
      </c>
    </row>
    <row r="7016" s="3" customFormat="1" ht="18.75" spans="1:5">
      <c r="A7016" s="8" t="str">
        <f t="shared" si="123"/>
        <v>250031</v>
      </c>
      <c r="B7016" s="8" t="str">
        <f>"2561408010727"</f>
        <v>2561408010727</v>
      </c>
      <c r="C7016" s="8" t="s">
        <v>14</v>
      </c>
      <c r="D7016" s="9">
        <v>0</v>
      </c>
      <c r="E7016" s="8">
        <v>195</v>
      </c>
    </row>
    <row r="7017" s="3" customFormat="1" ht="18.75" spans="1:5">
      <c r="A7017" s="8" t="str">
        <f t="shared" si="123"/>
        <v>250031</v>
      </c>
      <c r="B7017" s="8" t="str">
        <f>"2561408010729"</f>
        <v>2561408010729</v>
      </c>
      <c r="C7017" s="8" t="s">
        <v>14</v>
      </c>
      <c r="D7017" s="9">
        <v>0</v>
      </c>
      <c r="E7017" s="8">
        <v>195</v>
      </c>
    </row>
    <row r="7018" s="3" customFormat="1" ht="18.75" spans="1:5">
      <c r="A7018" s="8" t="str">
        <f t="shared" si="123"/>
        <v>250031</v>
      </c>
      <c r="B7018" s="8" t="str">
        <f>"2561408010730"</f>
        <v>2561408010730</v>
      </c>
      <c r="C7018" s="8" t="s">
        <v>14</v>
      </c>
      <c r="D7018" s="9">
        <v>0</v>
      </c>
      <c r="E7018" s="8">
        <v>195</v>
      </c>
    </row>
    <row r="7019" s="3" customFormat="1" ht="18.75" spans="1:5">
      <c r="A7019" s="8" t="str">
        <f t="shared" si="123"/>
        <v>250031</v>
      </c>
      <c r="B7019" s="8" t="str">
        <f>"2561408010801"</f>
        <v>2561408010801</v>
      </c>
      <c r="C7019" s="8" t="s">
        <v>14</v>
      </c>
      <c r="D7019" s="9">
        <v>0</v>
      </c>
      <c r="E7019" s="8">
        <v>195</v>
      </c>
    </row>
    <row r="7020" s="3" customFormat="1" ht="18.75" spans="1:5">
      <c r="A7020" s="8" t="str">
        <f t="shared" si="123"/>
        <v>250031</v>
      </c>
      <c r="B7020" s="8" t="str">
        <f>"2561408010804"</f>
        <v>2561408010804</v>
      </c>
      <c r="C7020" s="8" t="s">
        <v>14</v>
      </c>
      <c r="D7020" s="9">
        <v>0</v>
      </c>
      <c r="E7020" s="8">
        <v>195</v>
      </c>
    </row>
    <row r="7021" s="3" customFormat="1" ht="18.75" spans="1:5">
      <c r="A7021" s="8" t="str">
        <f t="shared" si="123"/>
        <v>250031</v>
      </c>
      <c r="B7021" s="8" t="str">
        <f>"2561408010811"</f>
        <v>2561408010811</v>
      </c>
      <c r="C7021" s="8" t="s">
        <v>14</v>
      </c>
      <c r="D7021" s="9">
        <v>0</v>
      </c>
      <c r="E7021" s="8">
        <v>195</v>
      </c>
    </row>
    <row r="7022" s="3" customFormat="1" ht="18.75" spans="1:5">
      <c r="A7022" s="8" t="str">
        <f t="shared" si="123"/>
        <v>250031</v>
      </c>
      <c r="B7022" s="8" t="str">
        <f>"2561408010812"</f>
        <v>2561408010812</v>
      </c>
      <c r="C7022" s="8" t="s">
        <v>14</v>
      </c>
      <c r="D7022" s="9">
        <v>0</v>
      </c>
      <c r="E7022" s="8">
        <v>195</v>
      </c>
    </row>
    <row r="7023" s="3" customFormat="1" ht="18.75" spans="1:5">
      <c r="A7023" s="8" t="str">
        <f t="shared" si="123"/>
        <v>250031</v>
      </c>
      <c r="B7023" s="8" t="str">
        <f>"2561408010813"</f>
        <v>2561408010813</v>
      </c>
      <c r="C7023" s="8" t="s">
        <v>14</v>
      </c>
      <c r="D7023" s="9">
        <v>0</v>
      </c>
      <c r="E7023" s="8">
        <v>195</v>
      </c>
    </row>
    <row r="7024" s="3" customFormat="1" ht="18.75" spans="1:5">
      <c r="A7024" s="8" t="str">
        <f t="shared" si="123"/>
        <v>250031</v>
      </c>
      <c r="B7024" s="8" t="str">
        <f>"2561408010814"</f>
        <v>2561408010814</v>
      </c>
      <c r="C7024" s="8" t="s">
        <v>14</v>
      </c>
      <c r="D7024" s="9">
        <v>0</v>
      </c>
      <c r="E7024" s="8">
        <v>195</v>
      </c>
    </row>
    <row r="7025" s="3" customFormat="1" ht="18.75" spans="1:5">
      <c r="A7025" s="8" t="str">
        <f t="shared" si="123"/>
        <v>250031</v>
      </c>
      <c r="B7025" s="8" t="str">
        <f>"2561408010816"</f>
        <v>2561408010816</v>
      </c>
      <c r="C7025" s="8" t="s">
        <v>14</v>
      </c>
      <c r="D7025" s="9">
        <v>0</v>
      </c>
      <c r="E7025" s="8">
        <v>195</v>
      </c>
    </row>
    <row r="7026" s="3" customFormat="1" ht="18.75" spans="1:5">
      <c r="A7026" s="8" t="str">
        <f t="shared" si="123"/>
        <v>250031</v>
      </c>
      <c r="B7026" s="8" t="str">
        <f>"2561408010817"</f>
        <v>2561408010817</v>
      </c>
      <c r="C7026" s="8" t="s">
        <v>14</v>
      </c>
      <c r="D7026" s="9">
        <v>0</v>
      </c>
      <c r="E7026" s="8">
        <v>195</v>
      </c>
    </row>
    <row r="7027" s="3" customFormat="1" ht="18.75" spans="1:5">
      <c r="A7027" s="8" t="str">
        <f t="shared" si="123"/>
        <v>250031</v>
      </c>
      <c r="B7027" s="8" t="str">
        <f>"2561408010824"</f>
        <v>2561408010824</v>
      </c>
      <c r="C7027" s="8" t="s">
        <v>14</v>
      </c>
      <c r="D7027" s="9">
        <v>0</v>
      </c>
      <c r="E7027" s="8">
        <v>195</v>
      </c>
    </row>
    <row r="7028" s="3" customFormat="1" ht="18.75" spans="1:5">
      <c r="A7028" s="8" t="str">
        <f t="shared" si="123"/>
        <v>250031</v>
      </c>
      <c r="B7028" s="8" t="str">
        <f>"2561408010829"</f>
        <v>2561408010829</v>
      </c>
      <c r="C7028" s="8" t="s">
        <v>14</v>
      </c>
      <c r="D7028" s="9">
        <v>0</v>
      </c>
      <c r="E7028" s="8">
        <v>195</v>
      </c>
    </row>
    <row r="7029" s="3" customFormat="1" ht="18.75" spans="1:5">
      <c r="A7029" s="8" t="str">
        <f t="shared" si="123"/>
        <v>250031</v>
      </c>
      <c r="B7029" s="8" t="str">
        <f>"2561408010830"</f>
        <v>2561408010830</v>
      </c>
      <c r="C7029" s="8" t="s">
        <v>14</v>
      </c>
      <c r="D7029" s="9">
        <v>0</v>
      </c>
      <c r="E7029" s="8">
        <v>195</v>
      </c>
    </row>
    <row r="7030" s="3" customFormat="1" ht="18.75" spans="1:5">
      <c r="A7030" s="8" t="str">
        <f t="shared" si="123"/>
        <v>250031</v>
      </c>
      <c r="B7030" s="8" t="str">
        <f>"2561408010903"</f>
        <v>2561408010903</v>
      </c>
      <c r="C7030" s="8" t="s">
        <v>14</v>
      </c>
      <c r="D7030" s="9">
        <v>0</v>
      </c>
      <c r="E7030" s="8">
        <v>195</v>
      </c>
    </row>
    <row r="7031" s="3" customFormat="1" ht="18.75" spans="1:5">
      <c r="A7031" s="8" t="str">
        <f t="shared" si="123"/>
        <v>250031</v>
      </c>
      <c r="B7031" s="8" t="str">
        <f>"2561408010904"</f>
        <v>2561408010904</v>
      </c>
      <c r="C7031" s="8" t="s">
        <v>14</v>
      </c>
      <c r="D7031" s="9">
        <v>0</v>
      </c>
      <c r="E7031" s="8">
        <v>195</v>
      </c>
    </row>
    <row r="7032" s="3" customFormat="1" ht="18.75" spans="1:5">
      <c r="A7032" s="8" t="str">
        <f t="shared" ref="A7032:A7082" si="124">"250031"</f>
        <v>250031</v>
      </c>
      <c r="B7032" s="8" t="str">
        <f>"2561408010908"</f>
        <v>2561408010908</v>
      </c>
      <c r="C7032" s="8" t="s">
        <v>14</v>
      </c>
      <c r="D7032" s="9">
        <v>0</v>
      </c>
      <c r="E7032" s="8">
        <v>195</v>
      </c>
    </row>
    <row r="7033" s="3" customFormat="1" ht="18.75" spans="1:5">
      <c r="A7033" s="8" t="str">
        <f t="shared" si="124"/>
        <v>250031</v>
      </c>
      <c r="B7033" s="8" t="str">
        <f>"2561408010909"</f>
        <v>2561408010909</v>
      </c>
      <c r="C7033" s="8" t="s">
        <v>14</v>
      </c>
      <c r="D7033" s="9">
        <v>0</v>
      </c>
      <c r="E7033" s="8">
        <v>195</v>
      </c>
    </row>
    <row r="7034" s="3" customFormat="1" ht="18.75" spans="1:5">
      <c r="A7034" s="8" t="str">
        <f t="shared" si="124"/>
        <v>250031</v>
      </c>
      <c r="B7034" s="8" t="str">
        <f>"2561408010911"</f>
        <v>2561408010911</v>
      </c>
      <c r="C7034" s="8" t="s">
        <v>14</v>
      </c>
      <c r="D7034" s="9">
        <v>0</v>
      </c>
      <c r="E7034" s="8">
        <v>195</v>
      </c>
    </row>
    <row r="7035" s="3" customFormat="1" ht="18.75" spans="1:5">
      <c r="A7035" s="8" t="str">
        <f t="shared" si="124"/>
        <v>250031</v>
      </c>
      <c r="B7035" s="8" t="str">
        <f>"2561408010913"</f>
        <v>2561408010913</v>
      </c>
      <c r="C7035" s="8" t="s">
        <v>14</v>
      </c>
      <c r="D7035" s="9">
        <v>0</v>
      </c>
      <c r="E7035" s="8">
        <v>195</v>
      </c>
    </row>
    <row r="7036" s="3" customFormat="1" ht="18.75" spans="1:5">
      <c r="A7036" s="8" t="str">
        <f t="shared" si="124"/>
        <v>250031</v>
      </c>
      <c r="B7036" s="8" t="str">
        <f>"2561408010915"</f>
        <v>2561408010915</v>
      </c>
      <c r="C7036" s="8" t="s">
        <v>14</v>
      </c>
      <c r="D7036" s="9">
        <v>0</v>
      </c>
      <c r="E7036" s="8">
        <v>195</v>
      </c>
    </row>
    <row r="7037" s="3" customFormat="1" ht="18.75" spans="1:5">
      <c r="A7037" s="8" t="str">
        <f t="shared" si="124"/>
        <v>250031</v>
      </c>
      <c r="B7037" s="8" t="str">
        <f>"2561408010917"</f>
        <v>2561408010917</v>
      </c>
      <c r="C7037" s="8" t="s">
        <v>14</v>
      </c>
      <c r="D7037" s="9">
        <v>0</v>
      </c>
      <c r="E7037" s="8">
        <v>195</v>
      </c>
    </row>
    <row r="7038" s="3" customFormat="1" ht="18.75" spans="1:5">
      <c r="A7038" s="8" t="str">
        <f t="shared" si="124"/>
        <v>250031</v>
      </c>
      <c r="B7038" s="8" t="str">
        <f>"2561408010918"</f>
        <v>2561408010918</v>
      </c>
      <c r="C7038" s="8" t="s">
        <v>14</v>
      </c>
      <c r="D7038" s="9">
        <v>0</v>
      </c>
      <c r="E7038" s="8">
        <v>195</v>
      </c>
    </row>
    <row r="7039" s="3" customFormat="1" ht="18.75" spans="1:5">
      <c r="A7039" s="8" t="str">
        <f t="shared" si="124"/>
        <v>250031</v>
      </c>
      <c r="B7039" s="8" t="str">
        <f>"2561408010920"</f>
        <v>2561408010920</v>
      </c>
      <c r="C7039" s="8" t="s">
        <v>14</v>
      </c>
      <c r="D7039" s="9">
        <v>0</v>
      </c>
      <c r="E7039" s="8">
        <v>195</v>
      </c>
    </row>
    <row r="7040" s="3" customFormat="1" ht="18.75" spans="1:5">
      <c r="A7040" s="8" t="str">
        <f t="shared" si="124"/>
        <v>250031</v>
      </c>
      <c r="B7040" s="8" t="str">
        <f>"2561408010921"</f>
        <v>2561408010921</v>
      </c>
      <c r="C7040" s="8" t="s">
        <v>14</v>
      </c>
      <c r="D7040" s="9">
        <v>0</v>
      </c>
      <c r="E7040" s="8">
        <v>195</v>
      </c>
    </row>
    <row r="7041" s="3" customFormat="1" ht="18.75" spans="1:5">
      <c r="A7041" s="8" t="str">
        <f t="shared" si="124"/>
        <v>250031</v>
      </c>
      <c r="B7041" s="8" t="str">
        <f>"2561408010927"</f>
        <v>2561408010927</v>
      </c>
      <c r="C7041" s="8" t="s">
        <v>14</v>
      </c>
      <c r="D7041" s="9">
        <v>0</v>
      </c>
      <c r="E7041" s="8">
        <v>195</v>
      </c>
    </row>
    <row r="7042" s="3" customFormat="1" ht="18.75" spans="1:5">
      <c r="A7042" s="8" t="str">
        <f t="shared" si="124"/>
        <v>250031</v>
      </c>
      <c r="B7042" s="8" t="str">
        <f>"2561408011003"</f>
        <v>2561408011003</v>
      </c>
      <c r="C7042" s="8" t="s">
        <v>14</v>
      </c>
      <c r="D7042" s="9">
        <v>0</v>
      </c>
      <c r="E7042" s="8">
        <v>195</v>
      </c>
    </row>
    <row r="7043" s="3" customFormat="1" ht="18.75" spans="1:5">
      <c r="A7043" s="8" t="str">
        <f t="shared" si="124"/>
        <v>250031</v>
      </c>
      <c r="B7043" s="8" t="str">
        <f>"2561408011006"</f>
        <v>2561408011006</v>
      </c>
      <c r="C7043" s="8" t="s">
        <v>14</v>
      </c>
      <c r="D7043" s="9">
        <v>0</v>
      </c>
      <c r="E7043" s="8">
        <v>195</v>
      </c>
    </row>
    <row r="7044" s="3" customFormat="1" ht="18.75" spans="1:5">
      <c r="A7044" s="8" t="str">
        <f t="shared" si="124"/>
        <v>250031</v>
      </c>
      <c r="B7044" s="8" t="str">
        <f>"2561408011010"</f>
        <v>2561408011010</v>
      </c>
      <c r="C7044" s="8" t="s">
        <v>14</v>
      </c>
      <c r="D7044" s="9">
        <v>0</v>
      </c>
      <c r="E7044" s="8">
        <v>195</v>
      </c>
    </row>
    <row r="7045" s="3" customFormat="1" ht="18.75" spans="1:5">
      <c r="A7045" s="8" t="str">
        <f t="shared" si="124"/>
        <v>250031</v>
      </c>
      <c r="B7045" s="8" t="str">
        <f>"2561408011026"</f>
        <v>2561408011026</v>
      </c>
      <c r="C7045" s="8" t="s">
        <v>14</v>
      </c>
      <c r="D7045" s="9">
        <v>0</v>
      </c>
      <c r="E7045" s="8">
        <v>195</v>
      </c>
    </row>
    <row r="7046" s="3" customFormat="1" ht="18.75" spans="1:5">
      <c r="A7046" s="8" t="str">
        <f t="shared" si="124"/>
        <v>250031</v>
      </c>
      <c r="B7046" s="8" t="str">
        <f>"2561408011027"</f>
        <v>2561408011027</v>
      </c>
      <c r="C7046" s="8" t="s">
        <v>14</v>
      </c>
      <c r="D7046" s="9">
        <v>0</v>
      </c>
      <c r="E7046" s="8">
        <v>195</v>
      </c>
    </row>
    <row r="7047" s="3" customFormat="1" ht="18.75" spans="1:5">
      <c r="A7047" s="8" t="str">
        <f t="shared" si="124"/>
        <v>250031</v>
      </c>
      <c r="B7047" s="8" t="str">
        <f>"2561408011028"</f>
        <v>2561408011028</v>
      </c>
      <c r="C7047" s="8" t="s">
        <v>14</v>
      </c>
      <c r="D7047" s="9">
        <v>0</v>
      </c>
      <c r="E7047" s="8">
        <v>195</v>
      </c>
    </row>
    <row r="7048" s="3" customFormat="1" ht="18.75" spans="1:5">
      <c r="A7048" s="8" t="str">
        <f t="shared" si="124"/>
        <v>250031</v>
      </c>
      <c r="B7048" s="8" t="str">
        <f>"2561408011103"</f>
        <v>2561408011103</v>
      </c>
      <c r="C7048" s="8" t="s">
        <v>14</v>
      </c>
      <c r="D7048" s="9">
        <v>0</v>
      </c>
      <c r="E7048" s="8">
        <v>195</v>
      </c>
    </row>
    <row r="7049" s="3" customFormat="1" ht="18.75" spans="1:5">
      <c r="A7049" s="8" t="str">
        <f t="shared" si="124"/>
        <v>250031</v>
      </c>
      <c r="B7049" s="8" t="str">
        <f>"2561408011105"</f>
        <v>2561408011105</v>
      </c>
      <c r="C7049" s="8" t="s">
        <v>14</v>
      </c>
      <c r="D7049" s="9">
        <v>0</v>
      </c>
      <c r="E7049" s="8">
        <v>195</v>
      </c>
    </row>
    <row r="7050" s="3" customFormat="1" ht="18.75" spans="1:5">
      <c r="A7050" s="8" t="str">
        <f t="shared" si="124"/>
        <v>250031</v>
      </c>
      <c r="B7050" s="8" t="str">
        <f>"2561408011106"</f>
        <v>2561408011106</v>
      </c>
      <c r="C7050" s="8" t="s">
        <v>14</v>
      </c>
      <c r="D7050" s="9">
        <v>0</v>
      </c>
      <c r="E7050" s="8">
        <v>195</v>
      </c>
    </row>
    <row r="7051" s="3" customFormat="1" ht="18.75" spans="1:5">
      <c r="A7051" s="8" t="str">
        <f t="shared" si="124"/>
        <v>250031</v>
      </c>
      <c r="B7051" s="8" t="str">
        <f>"2561408011107"</f>
        <v>2561408011107</v>
      </c>
      <c r="C7051" s="8" t="s">
        <v>14</v>
      </c>
      <c r="D7051" s="9">
        <v>0</v>
      </c>
      <c r="E7051" s="8">
        <v>195</v>
      </c>
    </row>
    <row r="7052" s="3" customFormat="1" ht="18.75" spans="1:5">
      <c r="A7052" s="8" t="str">
        <f t="shared" si="124"/>
        <v>250031</v>
      </c>
      <c r="B7052" s="8" t="str">
        <f>"2561408011108"</f>
        <v>2561408011108</v>
      </c>
      <c r="C7052" s="8" t="s">
        <v>14</v>
      </c>
      <c r="D7052" s="9">
        <v>0</v>
      </c>
      <c r="E7052" s="8">
        <v>195</v>
      </c>
    </row>
    <row r="7053" s="3" customFormat="1" ht="18.75" spans="1:5">
      <c r="A7053" s="8" t="str">
        <f t="shared" si="124"/>
        <v>250031</v>
      </c>
      <c r="B7053" s="8" t="str">
        <f>"2561408011110"</f>
        <v>2561408011110</v>
      </c>
      <c r="C7053" s="8" t="s">
        <v>14</v>
      </c>
      <c r="D7053" s="9">
        <v>0</v>
      </c>
      <c r="E7053" s="8">
        <v>195</v>
      </c>
    </row>
    <row r="7054" s="3" customFormat="1" ht="18.75" spans="1:5">
      <c r="A7054" s="8" t="str">
        <f t="shared" si="124"/>
        <v>250031</v>
      </c>
      <c r="B7054" s="8" t="str">
        <f>"2561408011111"</f>
        <v>2561408011111</v>
      </c>
      <c r="C7054" s="8" t="s">
        <v>14</v>
      </c>
      <c r="D7054" s="9">
        <v>0</v>
      </c>
      <c r="E7054" s="8">
        <v>195</v>
      </c>
    </row>
    <row r="7055" s="3" customFormat="1" ht="18.75" spans="1:5">
      <c r="A7055" s="8" t="str">
        <f t="shared" si="124"/>
        <v>250031</v>
      </c>
      <c r="B7055" s="8" t="str">
        <f>"2561408011112"</f>
        <v>2561408011112</v>
      </c>
      <c r="C7055" s="8" t="s">
        <v>14</v>
      </c>
      <c r="D7055" s="9">
        <v>0</v>
      </c>
      <c r="E7055" s="8">
        <v>195</v>
      </c>
    </row>
    <row r="7056" s="3" customFormat="1" ht="18.75" spans="1:5">
      <c r="A7056" s="8" t="str">
        <f t="shared" si="124"/>
        <v>250031</v>
      </c>
      <c r="B7056" s="8" t="str">
        <f>"2561408011113"</f>
        <v>2561408011113</v>
      </c>
      <c r="C7056" s="8" t="s">
        <v>14</v>
      </c>
      <c r="D7056" s="9">
        <v>0</v>
      </c>
      <c r="E7056" s="8">
        <v>195</v>
      </c>
    </row>
    <row r="7057" s="3" customFormat="1" ht="18.75" spans="1:5">
      <c r="A7057" s="8" t="str">
        <f t="shared" si="124"/>
        <v>250031</v>
      </c>
      <c r="B7057" s="8" t="str">
        <f>"2561408011115"</f>
        <v>2561408011115</v>
      </c>
      <c r="C7057" s="8" t="s">
        <v>14</v>
      </c>
      <c r="D7057" s="9">
        <v>0</v>
      </c>
      <c r="E7057" s="8">
        <v>195</v>
      </c>
    </row>
    <row r="7058" s="3" customFormat="1" ht="18.75" spans="1:5">
      <c r="A7058" s="8" t="str">
        <f t="shared" si="124"/>
        <v>250031</v>
      </c>
      <c r="B7058" s="8" t="str">
        <f>"2561408011124"</f>
        <v>2561408011124</v>
      </c>
      <c r="C7058" s="8" t="s">
        <v>14</v>
      </c>
      <c r="D7058" s="9">
        <v>0</v>
      </c>
      <c r="E7058" s="8">
        <v>195</v>
      </c>
    </row>
    <row r="7059" s="3" customFormat="1" ht="18.75" spans="1:5">
      <c r="A7059" s="8" t="str">
        <f t="shared" si="124"/>
        <v>250031</v>
      </c>
      <c r="B7059" s="8" t="str">
        <f>"2561408011128"</f>
        <v>2561408011128</v>
      </c>
      <c r="C7059" s="8" t="s">
        <v>14</v>
      </c>
      <c r="D7059" s="9">
        <v>0</v>
      </c>
      <c r="E7059" s="8">
        <v>195</v>
      </c>
    </row>
    <row r="7060" s="3" customFormat="1" ht="18.75" spans="1:5">
      <c r="A7060" s="8" t="str">
        <f t="shared" si="124"/>
        <v>250031</v>
      </c>
      <c r="B7060" s="8" t="str">
        <f>"2561408011129"</f>
        <v>2561408011129</v>
      </c>
      <c r="C7060" s="8" t="s">
        <v>14</v>
      </c>
      <c r="D7060" s="9">
        <v>0</v>
      </c>
      <c r="E7060" s="8">
        <v>195</v>
      </c>
    </row>
    <row r="7061" s="3" customFormat="1" ht="18.75" spans="1:5">
      <c r="A7061" s="8" t="str">
        <f t="shared" si="124"/>
        <v>250031</v>
      </c>
      <c r="B7061" s="8" t="str">
        <f>"2561408011202"</f>
        <v>2561408011202</v>
      </c>
      <c r="C7061" s="8" t="s">
        <v>14</v>
      </c>
      <c r="D7061" s="9">
        <v>0</v>
      </c>
      <c r="E7061" s="8">
        <v>195</v>
      </c>
    </row>
    <row r="7062" s="3" customFormat="1" ht="18.75" spans="1:5">
      <c r="A7062" s="8" t="str">
        <f t="shared" si="124"/>
        <v>250031</v>
      </c>
      <c r="B7062" s="8" t="str">
        <f>"2561408011206"</f>
        <v>2561408011206</v>
      </c>
      <c r="C7062" s="8" t="s">
        <v>14</v>
      </c>
      <c r="D7062" s="9">
        <v>0</v>
      </c>
      <c r="E7062" s="8">
        <v>195</v>
      </c>
    </row>
    <row r="7063" s="3" customFormat="1" ht="18.75" spans="1:5">
      <c r="A7063" s="8" t="str">
        <f t="shared" si="124"/>
        <v>250031</v>
      </c>
      <c r="B7063" s="8" t="str">
        <f>"2561408011211"</f>
        <v>2561408011211</v>
      </c>
      <c r="C7063" s="8" t="s">
        <v>14</v>
      </c>
      <c r="D7063" s="9">
        <v>0</v>
      </c>
      <c r="E7063" s="8">
        <v>195</v>
      </c>
    </row>
    <row r="7064" s="3" customFormat="1" ht="18.75" spans="1:5">
      <c r="A7064" s="8" t="str">
        <f t="shared" si="124"/>
        <v>250031</v>
      </c>
      <c r="B7064" s="8" t="str">
        <f>"2561408011213"</f>
        <v>2561408011213</v>
      </c>
      <c r="C7064" s="8" t="s">
        <v>14</v>
      </c>
      <c r="D7064" s="9">
        <v>0</v>
      </c>
      <c r="E7064" s="8">
        <v>195</v>
      </c>
    </row>
    <row r="7065" s="3" customFormat="1" ht="18.75" spans="1:5">
      <c r="A7065" s="8" t="str">
        <f t="shared" si="124"/>
        <v>250031</v>
      </c>
      <c r="B7065" s="8" t="str">
        <f>"2561408011215"</f>
        <v>2561408011215</v>
      </c>
      <c r="C7065" s="8" t="s">
        <v>14</v>
      </c>
      <c r="D7065" s="9">
        <v>0</v>
      </c>
      <c r="E7065" s="8">
        <v>195</v>
      </c>
    </row>
    <row r="7066" s="3" customFormat="1" ht="18.75" spans="1:5">
      <c r="A7066" s="8" t="str">
        <f t="shared" si="124"/>
        <v>250031</v>
      </c>
      <c r="B7066" s="8" t="str">
        <f>"2561408011218"</f>
        <v>2561408011218</v>
      </c>
      <c r="C7066" s="8" t="s">
        <v>14</v>
      </c>
      <c r="D7066" s="9">
        <v>0</v>
      </c>
      <c r="E7066" s="8">
        <v>195</v>
      </c>
    </row>
    <row r="7067" s="3" customFormat="1" ht="18.75" spans="1:5">
      <c r="A7067" s="8" t="str">
        <f t="shared" si="124"/>
        <v>250031</v>
      </c>
      <c r="B7067" s="8" t="str">
        <f>"2561408011220"</f>
        <v>2561408011220</v>
      </c>
      <c r="C7067" s="8" t="s">
        <v>14</v>
      </c>
      <c r="D7067" s="9">
        <v>0</v>
      </c>
      <c r="E7067" s="8">
        <v>195</v>
      </c>
    </row>
    <row r="7068" s="3" customFormat="1" ht="18.75" spans="1:5">
      <c r="A7068" s="8" t="str">
        <f t="shared" si="124"/>
        <v>250031</v>
      </c>
      <c r="B7068" s="8" t="str">
        <f>"2561408011221"</f>
        <v>2561408011221</v>
      </c>
      <c r="C7068" s="8" t="s">
        <v>14</v>
      </c>
      <c r="D7068" s="9">
        <v>0</v>
      </c>
      <c r="E7068" s="8">
        <v>195</v>
      </c>
    </row>
    <row r="7069" s="3" customFormat="1" ht="18.75" spans="1:5">
      <c r="A7069" s="8" t="str">
        <f t="shared" si="124"/>
        <v>250031</v>
      </c>
      <c r="B7069" s="8" t="str">
        <f>"2561408011223"</f>
        <v>2561408011223</v>
      </c>
      <c r="C7069" s="8" t="s">
        <v>14</v>
      </c>
      <c r="D7069" s="9">
        <v>0</v>
      </c>
      <c r="E7069" s="8">
        <v>195</v>
      </c>
    </row>
    <row r="7070" s="3" customFormat="1" ht="18.75" spans="1:5">
      <c r="A7070" s="8" t="str">
        <f t="shared" si="124"/>
        <v>250031</v>
      </c>
      <c r="B7070" s="8" t="str">
        <f>"2561408011225"</f>
        <v>2561408011225</v>
      </c>
      <c r="C7070" s="8" t="s">
        <v>14</v>
      </c>
      <c r="D7070" s="9">
        <v>0</v>
      </c>
      <c r="E7070" s="8">
        <v>195</v>
      </c>
    </row>
    <row r="7071" s="3" customFormat="1" ht="18.75" spans="1:5">
      <c r="A7071" s="8" t="str">
        <f t="shared" si="124"/>
        <v>250031</v>
      </c>
      <c r="B7071" s="8" t="str">
        <f>"2561408011228"</f>
        <v>2561408011228</v>
      </c>
      <c r="C7071" s="8" t="s">
        <v>14</v>
      </c>
      <c r="D7071" s="9">
        <v>0</v>
      </c>
      <c r="E7071" s="8">
        <v>195</v>
      </c>
    </row>
    <row r="7072" s="3" customFormat="1" ht="18.75" spans="1:5">
      <c r="A7072" s="8" t="str">
        <f t="shared" si="124"/>
        <v>250031</v>
      </c>
      <c r="B7072" s="8" t="str">
        <f>"2561408011229"</f>
        <v>2561408011229</v>
      </c>
      <c r="C7072" s="8" t="s">
        <v>14</v>
      </c>
      <c r="D7072" s="9">
        <v>0</v>
      </c>
      <c r="E7072" s="8">
        <v>195</v>
      </c>
    </row>
    <row r="7073" s="3" customFormat="1" ht="18.75" spans="1:5">
      <c r="A7073" s="8" t="str">
        <f t="shared" si="124"/>
        <v>250031</v>
      </c>
      <c r="B7073" s="8" t="str">
        <f>"2561408011230"</f>
        <v>2561408011230</v>
      </c>
      <c r="C7073" s="8" t="s">
        <v>14</v>
      </c>
      <c r="D7073" s="9">
        <v>0</v>
      </c>
      <c r="E7073" s="8">
        <v>195</v>
      </c>
    </row>
    <row r="7074" s="3" customFormat="1" ht="18.75" spans="1:5">
      <c r="A7074" s="8" t="str">
        <f t="shared" si="124"/>
        <v>250031</v>
      </c>
      <c r="B7074" s="8" t="str">
        <f>"2561408011314"</f>
        <v>2561408011314</v>
      </c>
      <c r="C7074" s="8" t="s">
        <v>14</v>
      </c>
      <c r="D7074" s="9">
        <v>0</v>
      </c>
      <c r="E7074" s="8">
        <v>195</v>
      </c>
    </row>
    <row r="7075" s="3" customFormat="1" ht="18.75" spans="1:5">
      <c r="A7075" s="8" t="str">
        <f t="shared" si="124"/>
        <v>250031</v>
      </c>
      <c r="B7075" s="8" t="str">
        <f>"2561408011315"</f>
        <v>2561408011315</v>
      </c>
      <c r="C7075" s="8" t="s">
        <v>14</v>
      </c>
      <c r="D7075" s="9">
        <v>0</v>
      </c>
      <c r="E7075" s="8">
        <v>195</v>
      </c>
    </row>
    <row r="7076" s="3" customFormat="1" ht="18.75" spans="1:5">
      <c r="A7076" s="8" t="str">
        <f t="shared" si="124"/>
        <v>250031</v>
      </c>
      <c r="B7076" s="8" t="str">
        <f>"2561408011316"</f>
        <v>2561408011316</v>
      </c>
      <c r="C7076" s="8" t="s">
        <v>14</v>
      </c>
      <c r="D7076" s="9">
        <v>0</v>
      </c>
      <c r="E7076" s="8">
        <v>195</v>
      </c>
    </row>
    <row r="7077" s="3" customFormat="1" ht="18.75" spans="1:5">
      <c r="A7077" s="8" t="str">
        <f t="shared" si="124"/>
        <v>250031</v>
      </c>
      <c r="B7077" s="8" t="str">
        <f>"2561408011318"</f>
        <v>2561408011318</v>
      </c>
      <c r="C7077" s="8" t="s">
        <v>14</v>
      </c>
      <c r="D7077" s="9">
        <v>0</v>
      </c>
      <c r="E7077" s="8">
        <v>195</v>
      </c>
    </row>
    <row r="7078" s="3" customFormat="1" ht="18.75" spans="1:5">
      <c r="A7078" s="8" t="str">
        <f t="shared" si="124"/>
        <v>250031</v>
      </c>
      <c r="B7078" s="8" t="str">
        <f>"2561408011319"</f>
        <v>2561408011319</v>
      </c>
      <c r="C7078" s="8" t="s">
        <v>14</v>
      </c>
      <c r="D7078" s="9">
        <v>0</v>
      </c>
      <c r="E7078" s="8">
        <v>195</v>
      </c>
    </row>
    <row r="7079" s="3" customFormat="1" ht="18.75" spans="1:5">
      <c r="A7079" s="8" t="str">
        <f t="shared" si="124"/>
        <v>250031</v>
      </c>
      <c r="B7079" s="8" t="str">
        <f>"2561408011321"</f>
        <v>2561408011321</v>
      </c>
      <c r="C7079" s="8" t="s">
        <v>14</v>
      </c>
      <c r="D7079" s="9">
        <v>0</v>
      </c>
      <c r="E7079" s="8">
        <v>195</v>
      </c>
    </row>
    <row r="7080" s="3" customFormat="1" ht="18.75" spans="1:5">
      <c r="A7080" s="8" t="str">
        <f t="shared" si="124"/>
        <v>250031</v>
      </c>
      <c r="B7080" s="8" t="str">
        <f>"2561408011328"</f>
        <v>2561408011328</v>
      </c>
      <c r="C7080" s="8" t="s">
        <v>14</v>
      </c>
      <c r="D7080" s="9">
        <v>0</v>
      </c>
      <c r="E7080" s="8">
        <v>195</v>
      </c>
    </row>
    <row r="7081" s="3" customFormat="1" ht="18.75" spans="1:5">
      <c r="A7081" s="8" t="str">
        <f t="shared" si="124"/>
        <v>250031</v>
      </c>
      <c r="B7081" s="8" t="str">
        <f>"2561408011330"</f>
        <v>2561408011330</v>
      </c>
      <c r="C7081" s="8" t="s">
        <v>14</v>
      </c>
      <c r="D7081" s="9">
        <v>0</v>
      </c>
      <c r="E7081" s="8">
        <v>195</v>
      </c>
    </row>
    <row r="7082" s="3" customFormat="1" ht="18.75" spans="1:5">
      <c r="A7082" s="8" t="str">
        <f t="shared" si="124"/>
        <v>250031</v>
      </c>
      <c r="B7082" s="8" t="str">
        <f>"2561408011401"</f>
        <v>2561408011401</v>
      </c>
      <c r="C7082" s="8" t="s">
        <v>14</v>
      </c>
      <c r="D7082" s="9">
        <v>0</v>
      </c>
      <c r="E7082" s="8">
        <v>195</v>
      </c>
    </row>
    <row r="7083" s="3" customFormat="1" ht="18.75" spans="1:5">
      <c r="A7083" s="8" t="str">
        <f t="shared" ref="A7083:A7146" si="125">"250032"</f>
        <v>250032</v>
      </c>
      <c r="B7083" s="8" t="str">
        <f>"2561408012320"</f>
        <v>2561408012320</v>
      </c>
      <c r="C7083" s="8" t="s">
        <v>14</v>
      </c>
      <c r="D7083" s="9">
        <v>74.41</v>
      </c>
      <c r="E7083" s="8">
        <v>1</v>
      </c>
    </row>
    <row r="7084" s="3" customFormat="1" ht="18.75" spans="1:5">
      <c r="A7084" s="8" t="str">
        <f t="shared" si="125"/>
        <v>250032</v>
      </c>
      <c r="B7084" s="8" t="str">
        <f>"2561408013027"</f>
        <v>2561408013027</v>
      </c>
      <c r="C7084" s="8" t="s">
        <v>14</v>
      </c>
      <c r="D7084" s="9">
        <v>71.64</v>
      </c>
      <c r="E7084" s="8">
        <v>2</v>
      </c>
    </row>
    <row r="7085" s="3" customFormat="1" ht="18.75" spans="1:5">
      <c r="A7085" s="8" t="str">
        <f t="shared" si="125"/>
        <v>250032</v>
      </c>
      <c r="B7085" s="8" t="str">
        <f>"2561408012215"</f>
        <v>2561408012215</v>
      </c>
      <c r="C7085" s="8" t="s">
        <v>14</v>
      </c>
      <c r="D7085" s="9">
        <v>69.79</v>
      </c>
      <c r="E7085" s="8">
        <v>3</v>
      </c>
    </row>
    <row r="7086" s="3" customFormat="1" ht="18.75" spans="1:5">
      <c r="A7086" s="8" t="str">
        <f t="shared" si="125"/>
        <v>250032</v>
      </c>
      <c r="B7086" s="8" t="str">
        <f>"2561408012910"</f>
        <v>2561408012910</v>
      </c>
      <c r="C7086" s="8" t="s">
        <v>14</v>
      </c>
      <c r="D7086" s="9">
        <v>68.68</v>
      </c>
      <c r="E7086" s="8">
        <v>4</v>
      </c>
    </row>
    <row r="7087" s="3" customFormat="1" ht="18.75" spans="1:5">
      <c r="A7087" s="8" t="str">
        <f t="shared" si="125"/>
        <v>250032</v>
      </c>
      <c r="B7087" s="8" t="str">
        <f>"2561408012205"</f>
        <v>2561408012205</v>
      </c>
      <c r="C7087" s="8" t="s">
        <v>14</v>
      </c>
      <c r="D7087" s="9">
        <v>68.55</v>
      </c>
      <c r="E7087" s="8">
        <v>5</v>
      </c>
    </row>
    <row r="7088" s="3" customFormat="1" ht="18.75" spans="1:5">
      <c r="A7088" s="8" t="str">
        <f t="shared" si="125"/>
        <v>250032</v>
      </c>
      <c r="B7088" s="8" t="str">
        <f>"2561408013030"</f>
        <v>2561408013030</v>
      </c>
      <c r="C7088" s="8" t="s">
        <v>14</v>
      </c>
      <c r="D7088" s="9">
        <v>68.35</v>
      </c>
      <c r="E7088" s="8">
        <v>6</v>
      </c>
    </row>
    <row r="7089" s="3" customFormat="1" ht="18.75" spans="1:5">
      <c r="A7089" s="8" t="str">
        <f t="shared" si="125"/>
        <v>250032</v>
      </c>
      <c r="B7089" s="8" t="str">
        <f>"2561408012505"</f>
        <v>2561408012505</v>
      </c>
      <c r="C7089" s="8" t="s">
        <v>14</v>
      </c>
      <c r="D7089" s="9">
        <v>68.17</v>
      </c>
      <c r="E7089" s="8">
        <v>7</v>
      </c>
    </row>
    <row r="7090" s="3" customFormat="1" ht="18.75" spans="1:5">
      <c r="A7090" s="8" t="str">
        <f t="shared" si="125"/>
        <v>250032</v>
      </c>
      <c r="B7090" s="8" t="str">
        <f>"2561408013005"</f>
        <v>2561408013005</v>
      </c>
      <c r="C7090" s="8" t="s">
        <v>14</v>
      </c>
      <c r="D7090" s="9">
        <v>66.6</v>
      </c>
      <c r="E7090" s="8">
        <v>8</v>
      </c>
    </row>
    <row r="7091" s="3" customFormat="1" ht="18.75" spans="1:5">
      <c r="A7091" s="8" t="str">
        <f t="shared" si="125"/>
        <v>250032</v>
      </c>
      <c r="B7091" s="8" t="str">
        <f>"2561408011530"</f>
        <v>2561408011530</v>
      </c>
      <c r="C7091" s="8" t="s">
        <v>14</v>
      </c>
      <c r="D7091" s="9">
        <v>66.39</v>
      </c>
      <c r="E7091" s="8">
        <v>9</v>
      </c>
    </row>
    <row r="7092" s="3" customFormat="1" ht="18.75" spans="1:5">
      <c r="A7092" s="8" t="str">
        <f t="shared" si="125"/>
        <v>250032</v>
      </c>
      <c r="B7092" s="8" t="str">
        <f>"2561408012807"</f>
        <v>2561408012807</v>
      </c>
      <c r="C7092" s="8" t="s">
        <v>14</v>
      </c>
      <c r="D7092" s="9">
        <v>66.17</v>
      </c>
      <c r="E7092" s="8">
        <v>10</v>
      </c>
    </row>
    <row r="7093" s="3" customFormat="1" ht="18.75" spans="1:5">
      <c r="A7093" s="8" t="str">
        <f t="shared" si="125"/>
        <v>250032</v>
      </c>
      <c r="B7093" s="8" t="str">
        <f>"2561408011430"</f>
        <v>2561408011430</v>
      </c>
      <c r="C7093" s="8" t="s">
        <v>14</v>
      </c>
      <c r="D7093" s="9">
        <v>65.81</v>
      </c>
      <c r="E7093" s="8">
        <v>11</v>
      </c>
    </row>
    <row r="7094" s="3" customFormat="1" ht="18.75" spans="1:5">
      <c r="A7094" s="8" t="str">
        <f t="shared" si="125"/>
        <v>250032</v>
      </c>
      <c r="B7094" s="8" t="str">
        <f>"2561408011916"</f>
        <v>2561408011916</v>
      </c>
      <c r="C7094" s="8" t="s">
        <v>14</v>
      </c>
      <c r="D7094" s="9">
        <v>65.68</v>
      </c>
      <c r="E7094" s="8">
        <v>12</v>
      </c>
    </row>
    <row r="7095" s="3" customFormat="1" ht="18.75" spans="1:5">
      <c r="A7095" s="8" t="str">
        <f t="shared" si="125"/>
        <v>250032</v>
      </c>
      <c r="B7095" s="8" t="str">
        <f>"2561408011913"</f>
        <v>2561408011913</v>
      </c>
      <c r="C7095" s="8" t="s">
        <v>14</v>
      </c>
      <c r="D7095" s="9">
        <v>65.39</v>
      </c>
      <c r="E7095" s="8">
        <v>13</v>
      </c>
    </row>
    <row r="7096" s="3" customFormat="1" ht="18.75" spans="1:5">
      <c r="A7096" s="8" t="str">
        <f t="shared" si="125"/>
        <v>250032</v>
      </c>
      <c r="B7096" s="8" t="str">
        <f>"2561408011910"</f>
        <v>2561408011910</v>
      </c>
      <c r="C7096" s="8" t="s">
        <v>14</v>
      </c>
      <c r="D7096" s="9">
        <v>64.74</v>
      </c>
      <c r="E7096" s="8">
        <v>14</v>
      </c>
    </row>
    <row r="7097" s="3" customFormat="1" ht="18.75" spans="1:5">
      <c r="A7097" s="8" t="str">
        <f t="shared" si="125"/>
        <v>250032</v>
      </c>
      <c r="B7097" s="8" t="str">
        <f>"2561408011806"</f>
        <v>2561408011806</v>
      </c>
      <c r="C7097" s="8" t="s">
        <v>14</v>
      </c>
      <c r="D7097" s="9">
        <v>64.51</v>
      </c>
      <c r="E7097" s="8">
        <v>15</v>
      </c>
    </row>
    <row r="7098" s="3" customFormat="1" ht="18.75" spans="1:5">
      <c r="A7098" s="8" t="str">
        <f t="shared" si="125"/>
        <v>250032</v>
      </c>
      <c r="B7098" s="8" t="str">
        <f>"2561408012219"</f>
        <v>2561408012219</v>
      </c>
      <c r="C7098" s="8" t="s">
        <v>14</v>
      </c>
      <c r="D7098" s="9">
        <v>64.23</v>
      </c>
      <c r="E7098" s="8">
        <v>16</v>
      </c>
    </row>
    <row r="7099" s="3" customFormat="1" ht="18.75" spans="1:5">
      <c r="A7099" s="8" t="str">
        <f t="shared" si="125"/>
        <v>250032</v>
      </c>
      <c r="B7099" s="8" t="str">
        <f>"2561408011901"</f>
        <v>2561408011901</v>
      </c>
      <c r="C7099" s="8" t="s">
        <v>14</v>
      </c>
      <c r="D7099" s="9">
        <v>64.21</v>
      </c>
      <c r="E7099" s="8">
        <v>17</v>
      </c>
    </row>
    <row r="7100" s="3" customFormat="1" ht="18.75" spans="1:5">
      <c r="A7100" s="8" t="str">
        <f t="shared" si="125"/>
        <v>250032</v>
      </c>
      <c r="B7100" s="8" t="str">
        <f>"2561408011922"</f>
        <v>2561408011922</v>
      </c>
      <c r="C7100" s="8" t="s">
        <v>14</v>
      </c>
      <c r="D7100" s="9">
        <v>64.12</v>
      </c>
      <c r="E7100" s="8">
        <v>18</v>
      </c>
    </row>
    <row r="7101" s="3" customFormat="1" ht="18.75" spans="1:5">
      <c r="A7101" s="8" t="str">
        <f t="shared" si="125"/>
        <v>250032</v>
      </c>
      <c r="B7101" s="8" t="str">
        <f>"2561408012618"</f>
        <v>2561408012618</v>
      </c>
      <c r="C7101" s="8" t="s">
        <v>14</v>
      </c>
      <c r="D7101" s="9">
        <v>63.99</v>
      </c>
      <c r="E7101" s="8">
        <v>19</v>
      </c>
    </row>
    <row r="7102" s="3" customFormat="1" ht="18.75" spans="1:5">
      <c r="A7102" s="8" t="str">
        <f t="shared" si="125"/>
        <v>250032</v>
      </c>
      <c r="B7102" s="8" t="str">
        <f>"2561408012130"</f>
        <v>2561408012130</v>
      </c>
      <c r="C7102" s="8" t="s">
        <v>14</v>
      </c>
      <c r="D7102" s="9">
        <v>63.98</v>
      </c>
      <c r="E7102" s="8">
        <v>20</v>
      </c>
    </row>
    <row r="7103" s="3" customFormat="1" ht="18.75" spans="1:5">
      <c r="A7103" s="8" t="str">
        <f t="shared" si="125"/>
        <v>250032</v>
      </c>
      <c r="B7103" s="8" t="str">
        <f>"2561408011724"</f>
        <v>2561408011724</v>
      </c>
      <c r="C7103" s="8" t="s">
        <v>14</v>
      </c>
      <c r="D7103" s="9">
        <v>63.92</v>
      </c>
      <c r="E7103" s="8">
        <v>21</v>
      </c>
    </row>
    <row r="7104" s="3" customFormat="1" ht="18.75" spans="1:5">
      <c r="A7104" s="8" t="str">
        <f t="shared" si="125"/>
        <v>250032</v>
      </c>
      <c r="B7104" s="8" t="str">
        <f>"2561408013010"</f>
        <v>2561408013010</v>
      </c>
      <c r="C7104" s="8" t="s">
        <v>14</v>
      </c>
      <c r="D7104" s="9">
        <v>63.84</v>
      </c>
      <c r="E7104" s="8">
        <v>22</v>
      </c>
    </row>
    <row r="7105" s="3" customFormat="1" ht="18.75" spans="1:5">
      <c r="A7105" s="8" t="str">
        <f t="shared" si="125"/>
        <v>250032</v>
      </c>
      <c r="B7105" s="8" t="str">
        <f>"2561408012230"</f>
        <v>2561408012230</v>
      </c>
      <c r="C7105" s="8" t="s">
        <v>14</v>
      </c>
      <c r="D7105" s="9">
        <v>63.69</v>
      </c>
      <c r="E7105" s="8">
        <v>23</v>
      </c>
    </row>
    <row r="7106" s="3" customFormat="1" ht="18.75" spans="1:5">
      <c r="A7106" s="8" t="str">
        <f t="shared" si="125"/>
        <v>250032</v>
      </c>
      <c r="B7106" s="8" t="str">
        <f>"2561408011504"</f>
        <v>2561408011504</v>
      </c>
      <c r="C7106" s="8" t="s">
        <v>14</v>
      </c>
      <c r="D7106" s="9">
        <v>63.64</v>
      </c>
      <c r="E7106" s="8">
        <v>24</v>
      </c>
    </row>
    <row r="7107" s="3" customFormat="1" ht="18.75" spans="1:5">
      <c r="A7107" s="8" t="str">
        <f t="shared" si="125"/>
        <v>250032</v>
      </c>
      <c r="B7107" s="8" t="str">
        <f>"2561408011614"</f>
        <v>2561408011614</v>
      </c>
      <c r="C7107" s="8" t="s">
        <v>14</v>
      </c>
      <c r="D7107" s="9">
        <v>63.44</v>
      </c>
      <c r="E7107" s="8">
        <v>25</v>
      </c>
    </row>
    <row r="7108" s="3" customFormat="1" ht="18.75" spans="1:5">
      <c r="A7108" s="8" t="str">
        <f t="shared" si="125"/>
        <v>250032</v>
      </c>
      <c r="B7108" s="8" t="str">
        <f>"2561408011624"</f>
        <v>2561408011624</v>
      </c>
      <c r="C7108" s="8" t="s">
        <v>14</v>
      </c>
      <c r="D7108" s="9">
        <v>63.42</v>
      </c>
      <c r="E7108" s="8">
        <v>26</v>
      </c>
    </row>
    <row r="7109" s="3" customFormat="1" ht="18.75" spans="1:5">
      <c r="A7109" s="8" t="str">
        <f t="shared" si="125"/>
        <v>250032</v>
      </c>
      <c r="B7109" s="8" t="str">
        <f>"2561408011618"</f>
        <v>2561408011618</v>
      </c>
      <c r="C7109" s="8" t="s">
        <v>14</v>
      </c>
      <c r="D7109" s="9">
        <v>63.34</v>
      </c>
      <c r="E7109" s="8">
        <v>27</v>
      </c>
    </row>
    <row r="7110" s="3" customFormat="1" ht="18.75" spans="1:5">
      <c r="A7110" s="8" t="str">
        <f t="shared" si="125"/>
        <v>250032</v>
      </c>
      <c r="B7110" s="8" t="str">
        <f>"2561408012024"</f>
        <v>2561408012024</v>
      </c>
      <c r="C7110" s="8" t="s">
        <v>14</v>
      </c>
      <c r="D7110" s="9">
        <v>62.75</v>
      </c>
      <c r="E7110" s="8">
        <v>28</v>
      </c>
    </row>
    <row r="7111" s="3" customFormat="1" ht="18.75" spans="1:5">
      <c r="A7111" s="8" t="str">
        <f t="shared" si="125"/>
        <v>250032</v>
      </c>
      <c r="B7111" s="8" t="str">
        <f>"2561408011623"</f>
        <v>2561408011623</v>
      </c>
      <c r="C7111" s="8" t="s">
        <v>14</v>
      </c>
      <c r="D7111" s="9">
        <v>62.74</v>
      </c>
      <c r="E7111" s="8">
        <v>29</v>
      </c>
    </row>
    <row r="7112" s="3" customFormat="1" ht="18.75" spans="1:5">
      <c r="A7112" s="8" t="str">
        <f t="shared" si="125"/>
        <v>250032</v>
      </c>
      <c r="B7112" s="8" t="str">
        <f>"2561408013104"</f>
        <v>2561408013104</v>
      </c>
      <c r="C7112" s="8" t="s">
        <v>14</v>
      </c>
      <c r="D7112" s="9">
        <v>62.62</v>
      </c>
      <c r="E7112" s="8">
        <v>30</v>
      </c>
    </row>
    <row r="7113" s="3" customFormat="1" ht="18.75" spans="1:5">
      <c r="A7113" s="8" t="str">
        <f t="shared" si="125"/>
        <v>250032</v>
      </c>
      <c r="B7113" s="8" t="str">
        <f>"2561408013015"</f>
        <v>2561408013015</v>
      </c>
      <c r="C7113" s="8" t="s">
        <v>14</v>
      </c>
      <c r="D7113" s="9">
        <v>62.46</v>
      </c>
      <c r="E7113" s="8">
        <v>31</v>
      </c>
    </row>
    <row r="7114" s="3" customFormat="1" ht="18.75" spans="1:5">
      <c r="A7114" s="8" t="str">
        <f t="shared" si="125"/>
        <v>250032</v>
      </c>
      <c r="B7114" s="8" t="str">
        <f>"2561408012117"</f>
        <v>2561408012117</v>
      </c>
      <c r="C7114" s="8" t="s">
        <v>14</v>
      </c>
      <c r="D7114" s="9">
        <v>62.39</v>
      </c>
      <c r="E7114" s="8">
        <v>32</v>
      </c>
    </row>
    <row r="7115" s="3" customFormat="1" ht="18.75" spans="1:5">
      <c r="A7115" s="8" t="str">
        <f t="shared" si="125"/>
        <v>250032</v>
      </c>
      <c r="B7115" s="8" t="str">
        <f>"2561408011421"</f>
        <v>2561408011421</v>
      </c>
      <c r="C7115" s="8" t="s">
        <v>14</v>
      </c>
      <c r="D7115" s="9">
        <v>62.08</v>
      </c>
      <c r="E7115" s="8">
        <v>33</v>
      </c>
    </row>
    <row r="7116" s="3" customFormat="1" ht="18.75" spans="1:5">
      <c r="A7116" s="8" t="str">
        <f t="shared" si="125"/>
        <v>250032</v>
      </c>
      <c r="B7116" s="8" t="str">
        <f>"2561408012126"</f>
        <v>2561408012126</v>
      </c>
      <c r="C7116" s="8" t="s">
        <v>14</v>
      </c>
      <c r="D7116" s="9">
        <v>61.99</v>
      </c>
      <c r="E7116" s="8">
        <v>34</v>
      </c>
    </row>
    <row r="7117" s="3" customFormat="1" ht="18.75" spans="1:5">
      <c r="A7117" s="8" t="str">
        <f t="shared" si="125"/>
        <v>250032</v>
      </c>
      <c r="B7117" s="8" t="str">
        <f>"2561408011906"</f>
        <v>2561408011906</v>
      </c>
      <c r="C7117" s="8" t="s">
        <v>14</v>
      </c>
      <c r="D7117" s="9">
        <v>61.98</v>
      </c>
      <c r="E7117" s="8">
        <v>35</v>
      </c>
    </row>
    <row r="7118" s="3" customFormat="1" ht="18.75" spans="1:5">
      <c r="A7118" s="8" t="str">
        <f t="shared" si="125"/>
        <v>250032</v>
      </c>
      <c r="B7118" s="8" t="str">
        <f>"2561408011507"</f>
        <v>2561408011507</v>
      </c>
      <c r="C7118" s="8" t="s">
        <v>14</v>
      </c>
      <c r="D7118" s="9">
        <v>61.97</v>
      </c>
      <c r="E7118" s="8">
        <v>36</v>
      </c>
    </row>
    <row r="7119" s="3" customFormat="1" ht="18.75" spans="1:5">
      <c r="A7119" s="8" t="str">
        <f t="shared" si="125"/>
        <v>250032</v>
      </c>
      <c r="B7119" s="8" t="str">
        <f>"2561408012208"</f>
        <v>2561408012208</v>
      </c>
      <c r="C7119" s="8" t="s">
        <v>14</v>
      </c>
      <c r="D7119" s="9">
        <v>61.88</v>
      </c>
      <c r="E7119" s="8">
        <v>37</v>
      </c>
    </row>
    <row r="7120" s="3" customFormat="1" ht="18.75" spans="1:5">
      <c r="A7120" s="8" t="str">
        <f t="shared" si="125"/>
        <v>250032</v>
      </c>
      <c r="B7120" s="8" t="str">
        <f>"2561408011606"</f>
        <v>2561408011606</v>
      </c>
      <c r="C7120" s="8" t="s">
        <v>14</v>
      </c>
      <c r="D7120" s="9">
        <v>61.84</v>
      </c>
      <c r="E7120" s="8">
        <v>38</v>
      </c>
    </row>
    <row r="7121" s="3" customFormat="1" ht="18.75" spans="1:5">
      <c r="A7121" s="8" t="str">
        <f t="shared" si="125"/>
        <v>250032</v>
      </c>
      <c r="B7121" s="8" t="str">
        <f>"2561408011727"</f>
        <v>2561408011727</v>
      </c>
      <c r="C7121" s="8" t="s">
        <v>14</v>
      </c>
      <c r="D7121" s="9">
        <v>61.84</v>
      </c>
      <c r="E7121" s="8">
        <v>38</v>
      </c>
    </row>
    <row r="7122" s="3" customFormat="1" ht="18.75" spans="1:5">
      <c r="A7122" s="8" t="str">
        <f t="shared" si="125"/>
        <v>250032</v>
      </c>
      <c r="B7122" s="8" t="str">
        <f>"2561408011517"</f>
        <v>2561408011517</v>
      </c>
      <c r="C7122" s="8" t="s">
        <v>14</v>
      </c>
      <c r="D7122" s="9">
        <v>61.76</v>
      </c>
      <c r="E7122" s="8">
        <v>40</v>
      </c>
    </row>
    <row r="7123" s="3" customFormat="1" ht="18.75" spans="1:5">
      <c r="A7123" s="8" t="str">
        <f t="shared" si="125"/>
        <v>250032</v>
      </c>
      <c r="B7123" s="8" t="str">
        <f>"2561408012324"</f>
        <v>2561408012324</v>
      </c>
      <c r="C7123" s="8" t="s">
        <v>14</v>
      </c>
      <c r="D7123" s="9">
        <v>61.6</v>
      </c>
      <c r="E7123" s="8">
        <v>41</v>
      </c>
    </row>
    <row r="7124" s="3" customFormat="1" ht="18.75" spans="1:5">
      <c r="A7124" s="8" t="str">
        <f t="shared" si="125"/>
        <v>250032</v>
      </c>
      <c r="B7124" s="8" t="str">
        <f>"2561408011403"</f>
        <v>2561408011403</v>
      </c>
      <c r="C7124" s="8" t="s">
        <v>14</v>
      </c>
      <c r="D7124" s="9">
        <v>61.53</v>
      </c>
      <c r="E7124" s="8">
        <v>42</v>
      </c>
    </row>
    <row r="7125" s="3" customFormat="1" ht="18.75" spans="1:5">
      <c r="A7125" s="8" t="str">
        <f t="shared" si="125"/>
        <v>250032</v>
      </c>
      <c r="B7125" s="8" t="str">
        <f>"2561408011509"</f>
        <v>2561408011509</v>
      </c>
      <c r="C7125" s="8" t="s">
        <v>14</v>
      </c>
      <c r="D7125" s="9">
        <v>61.43</v>
      </c>
      <c r="E7125" s="8">
        <v>43</v>
      </c>
    </row>
    <row r="7126" s="3" customFormat="1" ht="18.75" spans="1:5">
      <c r="A7126" s="8" t="str">
        <f t="shared" si="125"/>
        <v>250032</v>
      </c>
      <c r="B7126" s="8" t="str">
        <f>"2561408012710"</f>
        <v>2561408012710</v>
      </c>
      <c r="C7126" s="8" t="s">
        <v>14</v>
      </c>
      <c r="D7126" s="9">
        <v>61.39</v>
      </c>
      <c r="E7126" s="8">
        <v>44</v>
      </c>
    </row>
    <row r="7127" s="3" customFormat="1" ht="18.75" spans="1:5">
      <c r="A7127" s="8" t="str">
        <f t="shared" si="125"/>
        <v>250032</v>
      </c>
      <c r="B7127" s="8" t="str">
        <f>"2561408011928"</f>
        <v>2561408011928</v>
      </c>
      <c r="C7127" s="8" t="s">
        <v>14</v>
      </c>
      <c r="D7127" s="9">
        <v>61.31</v>
      </c>
      <c r="E7127" s="8">
        <v>45</v>
      </c>
    </row>
    <row r="7128" s="3" customFormat="1" ht="18.75" spans="1:5">
      <c r="A7128" s="8" t="str">
        <f t="shared" si="125"/>
        <v>250032</v>
      </c>
      <c r="B7128" s="8" t="str">
        <f>"2561408011818"</f>
        <v>2561408011818</v>
      </c>
      <c r="C7128" s="8" t="s">
        <v>14</v>
      </c>
      <c r="D7128" s="9">
        <v>61.25</v>
      </c>
      <c r="E7128" s="8">
        <v>46</v>
      </c>
    </row>
    <row r="7129" s="3" customFormat="1" ht="18.75" spans="1:5">
      <c r="A7129" s="8" t="str">
        <f t="shared" si="125"/>
        <v>250032</v>
      </c>
      <c r="B7129" s="8" t="str">
        <f>"2561408011610"</f>
        <v>2561408011610</v>
      </c>
      <c r="C7129" s="8" t="s">
        <v>14</v>
      </c>
      <c r="D7129" s="9">
        <v>61.1</v>
      </c>
      <c r="E7129" s="8">
        <v>47</v>
      </c>
    </row>
    <row r="7130" s="3" customFormat="1" ht="18.75" spans="1:5">
      <c r="A7130" s="8" t="str">
        <f t="shared" si="125"/>
        <v>250032</v>
      </c>
      <c r="B7130" s="8" t="str">
        <f>"2561408012003"</f>
        <v>2561408012003</v>
      </c>
      <c r="C7130" s="8" t="s">
        <v>14</v>
      </c>
      <c r="D7130" s="9">
        <v>60.71</v>
      </c>
      <c r="E7130" s="8">
        <v>48</v>
      </c>
    </row>
    <row r="7131" s="3" customFormat="1" ht="18.75" spans="1:5">
      <c r="A7131" s="8" t="str">
        <f t="shared" si="125"/>
        <v>250032</v>
      </c>
      <c r="B7131" s="8" t="str">
        <f>"2561408012708"</f>
        <v>2561408012708</v>
      </c>
      <c r="C7131" s="8" t="s">
        <v>14</v>
      </c>
      <c r="D7131" s="9">
        <v>60.46</v>
      </c>
      <c r="E7131" s="8">
        <v>49</v>
      </c>
    </row>
    <row r="7132" s="3" customFormat="1" ht="18.75" spans="1:5">
      <c r="A7132" s="8" t="str">
        <f t="shared" si="125"/>
        <v>250032</v>
      </c>
      <c r="B7132" s="8" t="str">
        <f>"2561408013002"</f>
        <v>2561408013002</v>
      </c>
      <c r="C7132" s="8" t="s">
        <v>14</v>
      </c>
      <c r="D7132" s="9">
        <v>60.44</v>
      </c>
      <c r="E7132" s="8">
        <v>50</v>
      </c>
    </row>
    <row r="7133" s="3" customFormat="1" ht="18.75" spans="1:5">
      <c r="A7133" s="8" t="str">
        <f t="shared" si="125"/>
        <v>250032</v>
      </c>
      <c r="B7133" s="8" t="str">
        <f>"2561408011808"</f>
        <v>2561408011808</v>
      </c>
      <c r="C7133" s="8" t="s">
        <v>14</v>
      </c>
      <c r="D7133" s="9">
        <v>60.4</v>
      </c>
      <c r="E7133" s="8">
        <v>51</v>
      </c>
    </row>
    <row r="7134" s="3" customFormat="1" ht="18.75" spans="1:5">
      <c r="A7134" s="8" t="str">
        <f t="shared" si="125"/>
        <v>250032</v>
      </c>
      <c r="B7134" s="8" t="str">
        <f>"2561408012602"</f>
        <v>2561408012602</v>
      </c>
      <c r="C7134" s="8" t="s">
        <v>14</v>
      </c>
      <c r="D7134" s="9">
        <v>60.34</v>
      </c>
      <c r="E7134" s="8">
        <v>52</v>
      </c>
    </row>
    <row r="7135" s="3" customFormat="1" ht="18.75" spans="1:5">
      <c r="A7135" s="8" t="str">
        <f t="shared" si="125"/>
        <v>250032</v>
      </c>
      <c r="B7135" s="8" t="str">
        <f>"2561408011918"</f>
        <v>2561408011918</v>
      </c>
      <c r="C7135" s="8" t="s">
        <v>14</v>
      </c>
      <c r="D7135" s="9">
        <v>60.26</v>
      </c>
      <c r="E7135" s="8">
        <v>53</v>
      </c>
    </row>
    <row r="7136" s="3" customFormat="1" ht="18.75" spans="1:5">
      <c r="A7136" s="8" t="str">
        <f t="shared" si="125"/>
        <v>250032</v>
      </c>
      <c r="B7136" s="8" t="str">
        <f>"2561408012022"</f>
        <v>2561408012022</v>
      </c>
      <c r="C7136" s="8" t="s">
        <v>14</v>
      </c>
      <c r="D7136" s="9">
        <v>60.16</v>
      </c>
      <c r="E7136" s="8">
        <v>54</v>
      </c>
    </row>
    <row r="7137" s="3" customFormat="1" ht="18.75" spans="1:5">
      <c r="A7137" s="8" t="str">
        <f t="shared" si="125"/>
        <v>250032</v>
      </c>
      <c r="B7137" s="8" t="str">
        <f>"2561408012813"</f>
        <v>2561408012813</v>
      </c>
      <c r="C7137" s="8" t="s">
        <v>14</v>
      </c>
      <c r="D7137" s="9">
        <v>60.16</v>
      </c>
      <c r="E7137" s="8">
        <v>54</v>
      </c>
    </row>
    <row r="7138" s="3" customFormat="1" ht="18.75" spans="1:5">
      <c r="A7138" s="8" t="str">
        <f t="shared" si="125"/>
        <v>250032</v>
      </c>
      <c r="B7138" s="8" t="str">
        <f>"2561408013004"</f>
        <v>2561408013004</v>
      </c>
      <c r="C7138" s="8" t="s">
        <v>14</v>
      </c>
      <c r="D7138" s="9">
        <v>60.12</v>
      </c>
      <c r="E7138" s="8">
        <v>56</v>
      </c>
    </row>
    <row r="7139" s="3" customFormat="1" ht="18.75" spans="1:5">
      <c r="A7139" s="8" t="str">
        <f t="shared" si="125"/>
        <v>250032</v>
      </c>
      <c r="B7139" s="8" t="str">
        <f>"2561408012412"</f>
        <v>2561408012412</v>
      </c>
      <c r="C7139" s="8" t="s">
        <v>14</v>
      </c>
      <c r="D7139" s="9">
        <v>60.05</v>
      </c>
      <c r="E7139" s="8">
        <v>57</v>
      </c>
    </row>
    <row r="7140" s="3" customFormat="1" ht="18.75" spans="1:5">
      <c r="A7140" s="8" t="str">
        <f t="shared" si="125"/>
        <v>250032</v>
      </c>
      <c r="B7140" s="8" t="str">
        <f>"2561408011407"</f>
        <v>2561408011407</v>
      </c>
      <c r="C7140" s="8" t="s">
        <v>14</v>
      </c>
      <c r="D7140" s="9">
        <v>59.97</v>
      </c>
      <c r="E7140" s="8">
        <v>58</v>
      </c>
    </row>
    <row r="7141" s="3" customFormat="1" ht="18.75" spans="1:5">
      <c r="A7141" s="8" t="str">
        <f t="shared" si="125"/>
        <v>250032</v>
      </c>
      <c r="B7141" s="8" t="str">
        <f>"2561408012116"</f>
        <v>2561408012116</v>
      </c>
      <c r="C7141" s="8" t="s">
        <v>14</v>
      </c>
      <c r="D7141" s="9">
        <v>59.96</v>
      </c>
      <c r="E7141" s="8">
        <v>59</v>
      </c>
    </row>
    <row r="7142" s="3" customFormat="1" ht="18.75" spans="1:5">
      <c r="A7142" s="8" t="str">
        <f t="shared" si="125"/>
        <v>250032</v>
      </c>
      <c r="B7142" s="8" t="str">
        <f>"2561408011608"</f>
        <v>2561408011608</v>
      </c>
      <c r="C7142" s="8" t="s">
        <v>14</v>
      </c>
      <c r="D7142" s="9">
        <v>59.85</v>
      </c>
      <c r="E7142" s="8">
        <v>60</v>
      </c>
    </row>
    <row r="7143" s="3" customFormat="1" ht="18.75" spans="1:5">
      <c r="A7143" s="8" t="str">
        <f t="shared" si="125"/>
        <v>250032</v>
      </c>
      <c r="B7143" s="8" t="str">
        <f>"2561408012305"</f>
        <v>2561408012305</v>
      </c>
      <c r="C7143" s="8" t="s">
        <v>14</v>
      </c>
      <c r="D7143" s="9">
        <v>59.85</v>
      </c>
      <c r="E7143" s="8">
        <v>60</v>
      </c>
    </row>
    <row r="7144" s="3" customFormat="1" ht="18.75" spans="1:5">
      <c r="A7144" s="8" t="str">
        <f t="shared" si="125"/>
        <v>250032</v>
      </c>
      <c r="B7144" s="8" t="str">
        <f>"2561408011729"</f>
        <v>2561408011729</v>
      </c>
      <c r="C7144" s="8" t="s">
        <v>14</v>
      </c>
      <c r="D7144" s="9">
        <v>59.79</v>
      </c>
      <c r="E7144" s="8">
        <v>62</v>
      </c>
    </row>
    <row r="7145" s="3" customFormat="1" ht="18.75" spans="1:5">
      <c r="A7145" s="8" t="str">
        <f t="shared" si="125"/>
        <v>250032</v>
      </c>
      <c r="B7145" s="8" t="str">
        <f>"2561408012915"</f>
        <v>2561408012915</v>
      </c>
      <c r="C7145" s="8" t="s">
        <v>14</v>
      </c>
      <c r="D7145" s="9">
        <v>59.79</v>
      </c>
      <c r="E7145" s="8">
        <v>62</v>
      </c>
    </row>
    <row r="7146" s="3" customFormat="1" ht="18.75" spans="1:5">
      <c r="A7146" s="8" t="str">
        <f t="shared" si="125"/>
        <v>250032</v>
      </c>
      <c r="B7146" s="8" t="str">
        <f>"2561408013021"</f>
        <v>2561408013021</v>
      </c>
      <c r="C7146" s="8" t="s">
        <v>14</v>
      </c>
      <c r="D7146" s="9">
        <v>59.78</v>
      </c>
      <c r="E7146" s="8">
        <v>64</v>
      </c>
    </row>
    <row r="7147" s="3" customFormat="1" ht="18.75" spans="1:5">
      <c r="A7147" s="8" t="str">
        <f t="shared" ref="A7147:A7210" si="126">"250032"</f>
        <v>250032</v>
      </c>
      <c r="B7147" s="8" t="str">
        <f>"2561408013014"</f>
        <v>2561408013014</v>
      </c>
      <c r="C7147" s="8" t="s">
        <v>14</v>
      </c>
      <c r="D7147" s="9">
        <v>59.76</v>
      </c>
      <c r="E7147" s="8">
        <v>65</v>
      </c>
    </row>
    <row r="7148" s="3" customFormat="1" ht="18.75" spans="1:5">
      <c r="A7148" s="8" t="str">
        <f t="shared" si="126"/>
        <v>250032</v>
      </c>
      <c r="B7148" s="8" t="str">
        <f>"2561408012310"</f>
        <v>2561408012310</v>
      </c>
      <c r="C7148" s="8" t="s">
        <v>14</v>
      </c>
      <c r="D7148" s="9">
        <v>59.72</v>
      </c>
      <c r="E7148" s="8">
        <v>66</v>
      </c>
    </row>
    <row r="7149" s="3" customFormat="1" ht="18.75" spans="1:5">
      <c r="A7149" s="8" t="str">
        <f t="shared" si="126"/>
        <v>250032</v>
      </c>
      <c r="B7149" s="8" t="str">
        <f>"2561408012806"</f>
        <v>2561408012806</v>
      </c>
      <c r="C7149" s="8" t="s">
        <v>14</v>
      </c>
      <c r="D7149" s="9">
        <v>59.7</v>
      </c>
      <c r="E7149" s="8">
        <v>67</v>
      </c>
    </row>
    <row r="7150" s="3" customFormat="1" ht="18.75" spans="1:5">
      <c r="A7150" s="8" t="str">
        <f t="shared" si="126"/>
        <v>250032</v>
      </c>
      <c r="B7150" s="8" t="str">
        <f>"2561408013103"</f>
        <v>2561408013103</v>
      </c>
      <c r="C7150" s="8" t="s">
        <v>14</v>
      </c>
      <c r="D7150" s="9">
        <v>59.57</v>
      </c>
      <c r="E7150" s="8">
        <v>68</v>
      </c>
    </row>
    <row r="7151" s="3" customFormat="1" ht="18.75" spans="1:5">
      <c r="A7151" s="8" t="str">
        <f t="shared" si="126"/>
        <v>250032</v>
      </c>
      <c r="B7151" s="8" t="str">
        <f>"2561408013102"</f>
        <v>2561408013102</v>
      </c>
      <c r="C7151" s="8" t="s">
        <v>14</v>
      </c>
      <c r="D7151" s="9">
        <v>59.45</v>
      </c>
      <c r="E7151" s="8">
        <v>69</v>
      </c>
    </row>
    <row r="7152" s="3" customFormat="1" ht="18.75" spans="1:5">
      <c r="A7152" s="8" t="str">
        <f t="shared" si="126"/>
        <v>250032</v>
      </c>
      <c r="B7152" s="8" t="str">
        <f>"2561408012301"</f>
        <v>2561408012301</v>
      </c>
      <c r="C7152" s="8" t="s">
        <v>14</v>
      </c>
      <c r="D7152" s="9">
        <v>59.33</v>
      </c>
      <c r="E7152" s="8">
        <v>70</v>
      </c>
    </row>
    <row r="7153" s="3" customFormat="1" ht="18.75" spans="1:5">
      <c r="A7153" s="8" t="str">
        <f t="shared" si="126"/>
        <v>250032</v>
      </c>
      <c r="B7153" s="8" t="str">
        <f>"2561408012820"</f>
        <v>2561408012820</v>
      </c>
      <c r="C7153" s="8" t="s">
        <v>14</v>
      </c>
      <c r="D7153" s="9">
        <v>59.32</v>
      </c>
      <c r="E7153" s="8">
        <v>71</v>
      </c>
    </row>
    <row r="7154" s="3" customFormat="1" ht="18.75" spans="1:5">
      <c r="A7154" s="8" t="str">
        <f t="shared" si="126"/>
        <v>250032</v>
      </c>
      <c r="B7154" s="8" t="str">
        <f>"2561408013013"</f>
        <v>2561408013013</v>
      </c>
      <c r="C7154" s="8" t="s">
        <v>14</v>
      </c>
      <c r="D7154" s="9">
        <v>59.32</v>
      </c>
      <c r="E7154" s="8">
        <v>71</v>
      </c>
    </row>
    <row r="7155" s="3" customFormat="1" ht="18.75" spans="1:5">
      <c r="A7155" s="8" t="str">
        <f t="shared" si="126"/>
        <v>250032</v>
      </c>
      <c r="B7155" s="8" t="str">
        <f>"2561408012830"</f>
        <v>2561408012830</v>
      </c>
      <c r="C7155" s="8" t="s">
        <v>14</v>
      </c>
      <c r="D7155" s="9">
        <v>59.25</v>
      </c>
      <c r="E7155" s="8">
        <v>73</v>
      </c>
    </row>
    <row r="7156" s="3" customFormat="1" ht="18.75" spans="1:5">
      <c r="A7156" s="8" t="str">
        <f t="shared" si="126"/>
        <v>250032</v>
      </c>
      <c r="B7156" s="8" t="str">
        <f>"2561408012825"</f>
        <v>2561408012825</v>
      </c>
      <c r="C7156" s="8" t="s">
        <v>14</v>
      </c>
      <c r="D7156" s="9">
        <v>59.2</v>
      </c>
      <c r="E7156" s="8">
        <v>74</v>
      </c>
    </row>
    <row r="7157" s="3" customFormat="1" ht="18.75" spans="1:5">
      <c r="A7157" s="8" t="str">
        <f t="shared" si="126"/>
        <v>250032</v>
      </c>
      <c r="B7157" s="8" t="str">
        <f>"2561408011803"</f>
        <v>2561408011803</v>
      </c>
      <c r="C7157" s="8" t="s">
        <v>14</v>
      </c>
      <c r="D7157" s="9">
        <v>59.17</v>
      </c>
      <c r="E7157" s="8">
        <v>75</v>
      </c>
    </row>
    <row r="7158" s="3" customFormat="1" ht="18.75" spans="1:5">
      <c r="A7158" s="8" t="str">
        <f t="shared" si="126"/>
        <v>250032</v>
      </c>
      <c r="B7158" s="8" t="str">
        <f>"2561408011706"</f>
        <v>2561408011706</v>
      </c>
      <c r="C7158" s="8" t="s">
        <v>14</v>
      </c>
      <c r="D7158" s="9">
        <v>59.16</v>
      </c>
      <c r="E7158" s="8">
        <v>76</v>
      </c>
    </row>
    <row r="7159" s="3" customFormat="1" ht="18.75" spans="1:5">
      <c r="A7159" s="8" t="str">
        <f t="shared" si="126"/>
        <v>250032</v>
      </c>
      <c r="B7159" s="8" t="str">
        <f>"2561408012719"</f>
        <v>2561408012719</v>
      </c>
      <c r="C7159" s="8" t="s">
        <v>14</v>
      </c>
      <c r="D7159" s="9">
        <v>59.16</v>
      </c>
      <c r="E7159" s="8">
        <v>76</v>
      </c>
    </row>
    <row r="7160" s="3" customFormat="1" ht="18.75" spans="1:5">
      <c r="A7160" s="8" t="str">
        <f t="shared" si="126"/>
        <v>250032</v>
      </c>
      <c r="B7160" s="8" t="str">
        <f>"2561408011524"</f>
        <v>2561408011524</v>
      </c>
      <c r="C7160" s="8" t="s">
        <v>14</v>
      </c>
      <c r="D7160" s="9">
        <v>59.14</v>
      </c>
      <c r="E7160" s="8">
        <v>78</v>
      </c>
    </row>
    <row r="7161" s="3" customFormat="1" ht="18.75" spans="1:5">
      <c r="A7161" s="8" t="str">
        <f t="shared" si="126"/>
        <v>250032</v>
      </c>
      <c r="B7161" s="8" t="str">
        <f>"2561408012824"</f>
        <v>2561408012824</v>
      </c>
      <c r="C7161" s="8" t="s">
        <v>14</v>
      </c>
      <c r="D7161" s="9">
        <v>59.07</v>
      </c>
      <c r="E7161" s="8">
        <v>79</v>
      </c>
    </row>
    <row r="7162" s="3" customFormat="1" ht="18.75" spans="1:5">
      <c r="A7162" s="8" t="str">
        <f t="shared" si="126"/>
        <v>250032</v>
      </c>
      <c r="B7162" s="8" t="str">
        <f>"2561408012014"</f>
        <v>2561408012014</v>
      </c>
      <c r="C7162" s="8" t="s">
        <v>14</v>
      </c>
      <c r="D7162" s="9">
        <v>59.03</v>
      </c>
      <c r="E7162" s="8">
        <v>80</v>
      </c>
    </row>
    <row r="7163" s="3" customFormat="1" ht="18.75" spans="1:5">
      <c r="A7163" s="8" t="str">
        <f t="shared" si="126"/>
        <v>250032</v>
      </c>
      <c r="B7163" s="8" t="str">
        <f>"2561408011629"</f>
        <v>2561408011629</v>
      </c>
      <c r="C7163" s="8" t="s">
        <v>14</v>
      </c>
      <c r="D7163" s="9">
        <v>58.93</v>
      </c>
      <c r="E7163" s="8">
        <v>81</v>
      </c>
    </row>
    <row r="7164" s="3" customFormat="1" ht="18.75" spans="1:5">
      <c r="A7164" s="8" t="str">
        <f t="shared" si="126"/>
        <v>250032</v>
      </c>
      <c r="B7164" s="8" t="str">
        <f>"2561408011514"</f>
        <v>2561408011514</v>
      </c>
      <c r="C7164" s="8" t="s">
        <v>14</v>
      </c>
      <c r="D7164" s="9">
        <v>58.84</v>
      </c>
      <c r="E7164" s="8">
        <v>82</v>
      </c>
    </row>
    <row r="7165" s="3" customFormat="1" ht="18.75" spans="1:5">
      <c r="A7165" s="8" t="str">
        <f t="shared" si="126"/>
        <v>250032</v>
      </c>
      <c r="B7165" s="8" t="str">
        <f>"2561408011525"</f>
        <v>2561408011525</v>
      </c>
      <c r="C7165" s="8" t="s">
        <v>14</v>
      </c>
      <c r="D7165" s="9">
        <v>58.74</v>
      </c>
      <c r="E7165" s="8">
        <v>83</v>
      </c>
    </row>
    <row r="7166" s="3" customFormat="1" ht="18.75" spans="1:5">
      <c r="A7166" s="8" t="str">
        <f t="shared" si="126"/>
        <v>250032</v>
      </c>
      <c r="B7166" s="8" t="str">
        <f>"2561408011611"</f>
        <v>2561408011611</v>
      </c>
      <c r="C7166" s="8" t="s">
        <v>14</v>
      </c>
      <c r="D7166" s="9">
        <v>58.69</v>
      </c>
      <c r="E7166" s="8">
        <v>84</v>
      </c>
    </row>
    <row r="7167" s="3" customFormat="1" ht="18.75" spans="1:5">
      <c r="A7167" s="8" t="str">
        <f t="shared" si="126"/>
        <v>250032</v>
      </c>
      <c r="B7167" s="8" t="str">
        <f>"2561408011826"</f>
        <v>2561408011826</v>
      </c>
      <c r="C7167" s="8" t="s">
        <v>14</v>
      </c>
      <c r="D7167" s="9">
        <v>58.69</v>
      </c>
      <c r="E7167" s="8">
        <v>84</v>
      </c>
    </row>
    <row r="7168" s="3" customFormat="1" ht="18.75" spans="1:5">
      <c r="A7168" s="8" t="str">
        <f t="shared" si="126"/>
        <v>250032</v>
      </c>
      <c r="B7168" s="8" t="str">
        <f>"2561408011503"</f>
        <v>2561408011503</v>
      </c>
      <c r="C7168" s="8" t="s">
        <v>14</v>
      </c>
      <c r="D7168" s="9">
        <v>58.62</v>
      </c>
      <c r="E7168" s="8">
        <v>86</v>
      </c>
    </row>
    <row r="7169" s="3" customFormat="1" ht="18.75" spans="1:5">
      <c r="A7169" s="8" t="str">
        <f t="shared" si="126"/>
        <v>250032</v>
      </c>
      <c r="B7169" s="8" t="str">
        <f>"2561408012428"</f>
        <v>2561408012428</v>
      </c>
      <c r="C7169" s="8" t="s">
        <v>14</v>
      </c>
      <c r="D7169" s="9">
        <v>58.6</v>
      </c>
      <c r="E7169" s="8">
        <v>87</v>
      </c>
    </row>
    <row r="7170" s="3" customFormat="1" ht="18.75" spans="1:5">
      <c r="A7170" s="8" t="str">
        <f t="shared" si="126"/>
        <v>250032</v>
      </c>
      <c r="B7170" s="8" t="str">
        <f>"2561408011904"</f>
        <v>2561408011904</v>
      </c>
      <c r="C7170" s="8" t="s">
        <v>14</v>
      </c>
      <c r="D7170" s="9">
        <v>58.35</v>
      </c>
      <c r="E7170" s="8">
        <v>88</v>
      </c>
    </row>
    <row r="7171" s="3" customFormat="1" ht="18.75" spans="1:5">
      <c r="A7171" s="8" t="str">
        <f t="shared" si="126"/>
        <v>250032</v>
      </c>
      <c r="B7171" s="8" t="str">
        <f>"2561408012102"</f>
        <v>2561408012102</v>
      </c>
      <c r="C7171" s="8" t="s">
        <v>14</v>
      </c>
      <c r="D7171" s="9">
        <v>58.26</v>
      </c>
      <c r="E7171" s="8">
        <v>89</v>
      </c>
    </row>
    <row r="7172" s="3" customFormat="1" ht="18.75" spans="1:5">
      <c r="A7172" s="8" t="str">
        <f t="shared" si="126"/>
        <v>250032</v>
      </c>
      <c r="B7172" s="8" t="str">
        <f>"2561408011925"</f>
        <v>2561408011925</v>
      </c>
      <c r="C7172" s="8" t="s">
        <v>14</v>
      </c>
      <c r="D7172" s="9">
        <v>58.21</v>
      </c>
      <c r="E7172" s="8">
        <v>90</v>
      </c>
    </row>
    <row r="7173" s="3" customFormat="1" ht="18.75" spans="1:5">
      <c r="A7173" s="8" t="str">
        <f t="shared" si="126"/>
        <v>250032</v>
      </c>
      <c r="B7173" s="8" t="str">
        <f>"2561408012725"</f>
        <v>2561408012725</v>
      </c>
      <c r="C7173" s="8" t="s">
        <v>14</v>
      </c>
      <c r="D7173" s="9">
        <v>58.19</v>
      </c>
      <c r="E7173" s="8">
        <v>91</v>
      </c>
    </row>
    <row r="7174" s="3" customFormat="1" ht="18.75" spans="1:5">
      <c r="A7174" s="8" t="str">
        <f t="shared" si="126"/>
        <v>250032</v>
      </c>
      <c r="B7174" s="8" t="str">
        <f>"2561408012922"</f>
        <v>2561408012922</v>
      </c>
      <c r="C7174" s="8" t="s">
        <v>14</v>
      </c>
      <c r="D7174" s="9">
        <v>57.73</v>
      </c>
      <c r="E7174" s="8">
        <v>92</v>
      </c>
    </row>
    <row r="7175" s="3" customFormat="1" ht="18.75" spans="1:5">
      <c r="A7175" s="8" t="str">
        <f t="shared" si="126"/>
        <v>250032</v>
      </c>
      <c r="B7175" s="8" t="str">
        <f>"2561408013101"</f>
        <v>2561408013101</v>
      </c>
      <c r="C7175" s="8" t="s">
        <v>14</v>
      </c>
      <c r="D7175" s="9">
        <v>57.72</v>
      </c>
      <c r="E7175" s="8">
        <v>93</v>
      </c>
    </row>
    <row r="7176" s="3" customFormat="1" ht="18.75" spans="1:5">
      <c r="A7176" s="8" t="str">
        <f t="shared" si="126"/>
        <v>250032</v>
      </c>
      <c r="B7176" s="8" t="str">
        <f>"2561408012421"</f>
        <v>2561408012421</v>
      </c>
      <c r="C7176" s="8" t="s">
        <v>14</v>
      </c>
      <c r="D7176" s="9">
        <v>57.7</v>
      </c>
      <c r="E7176" s="8">
        <v>94</v>
      </c>
    </row>
    <row r="7177" s="3" customFormat="1" ht="18.75" spans="1:5">
      <c r="A7177" s="8" t="str">
        <f t="shared" si="126"/>
        <v>250032</v>
      </c>
      <c r="B7177" s="8" t="str">
        <f>"2561408012718"</f>
        <v>2561408012718</v>
      </c>
      <c r="C7177" s="8" t="s">
        <v>14</v>
      </c>
      <c r="D7177" s="9">
        <v>57.62</v>
      </c>
      <c r="E7177" s="8">
        <v>95</v>
      </c>
    </row>
    <row r="7178" s="3" customFormat="1" ht="18.75" spans="1:5">
      <c r="A7178" s="8" t="str">
        <f t="shared" si="126"/>
        <v>250032</v>
      </c>
      <c r="B7178" s="8" t="str">
        <f>"2561408012229"</f>
        <v>2561408012229</v>
      </c>
      <c r="C7178" s="8" t="s">
        <v>14</v>
      </c>
      <c r="D7178" s="9">
        <v>57.55</v>
      </c>
      <c r="E7178" s="8">
        <v>96</v>
      </c>
    </row>
    <row r="7179" s="3" customFormat="1" ht="18.75" spans="1:5">
      <c r="A7179" s="8" t="str">
        <f t="shared" si="126"/>
        <v>250032</v>
      </c>
      <c r="B7179" s="8" t="str">
        <f>"2561408011419"</f>
        <v>2561408011419</v>
      </c>
      <c r="C7179" s="8" t="s">
        <v>14</v>
      </c>
      <c r="D7179" s="9">
        <v>57.44</v>
      </c>
      <c r="E7179" s="8">
        <v>97</v>
      </c>
    </row>
    <row r="7180" s="3" customFormat="1" ht="18.75" spans="1:5">
      <c r="A7180" s="8" t="str">
        <f t="shared" si="126"/>
        <v>250032</v>
      </c>
      <c r="B7180" s="8" t="str">
        <f>"2561408011526"</f>
        <v>2561408011526</v>
      </c>
      <c r="C7180" s="8" t="s">
        <v>14</v>
      </c>
      <c r="D7180" s="9">
        <v>57.41</v>
      </c>
      <c r="E7180" s="8">
        <v>98</v>
      </c>
    </row>
    <row r="7181" s="3" customFormat="1" ht="18.75" spans="1:5">
      <c r="A7181" s="8" t="str">
        <f t="shared" si="126"/>
        <v>250032</v>
      </c>
      <c r="B7181" s="8" t="str">
        <f>"2561408012328"</f>
        <v>2561408012328</v>
      </c>
      <c r="C7181" s="8" t="s">
        <v>14</v>
      </c>
      <c r="D7181" s="9">
        <v>57.41</v>
      </c>
      <c r="E7181" s="8">
        <v>98</v>
      </c>
    </row>
    <row r="7182" s="3" customFormat="1" ht="18.75" spans="1:5">
      <c r="A7182" s="8" t="str">
        <f t="shared" si="126"/>
        <v>250032</v>
      </c>
      <c r="B7182" s="8" t="str">
        <f>"2561408012007"</f>
        <v>2561408012007</v>
      </c>
      <c r="C7182" s="8" t="s">
        <v>14</v>
      </c>
      <c r="D7182" s="9">
        <v>57.33</v>
      </c>
      <c r="E7182" s="8">
        <v>100</v>
      </c>
    </row>
    <row r="7183" s="3" customFormat="1" ht="18.75" spans="1:5">
      <c r="A7183" s="8" t="str">
        <f t="shared" si="126"/>
        <v>250032</v>
      </c>
      <c r="B7183" s="8" t="str">
        <f>"2561408012112"</f>
        <v>2561408012112</v>
      </c>
      <c r="C7183" s="8" t="s">
        <v>14</v>
      </c>
      <c r="D7183" s="9">
        <v>57.33</v>
      </c>
      <c r="E7183" s="8">
        <v>100</v>
      </c>
    </row>
    <row r="7184" s="3" customFormat="1" ht="18.75" spans="1:5">
      <c r="A7184" s="8" t="str">
        <f t="shared" si="126"/>
        <v>250032</v>
      </c>
      <c r="B7184" s="8" t="str">
        <f>"2561408012522"</f>
        <v>2561408012522</v>
      </c>
      <c r="C7184" s="8" t="s">
        <v>14</v>
      </c>
      <c r="D7184" s="9">
        <v>57.25</v>
      </c>
      <c r="E7184" s="8">
        <v>102</v>
      </c>
    </row>
    <row r="7185" s="3" customFormat="1" ht="18.75" spans="1:5">
      <c r="A7185" s="8" t="str">
        <f t="shared" si="126"/>
        <v>250032</v>
      </c>
      <c r="B7185" s="8" t="str">
        <f>"2561408011408"</f>
        <v>2561408011408</v>
      </c>
      <c r="C7185" s="8" t="s">
        <v>14</v>
      </c>
      <c r="D7185" s="9">
        <v>57.19</v>
      </c>
      <c r="E7185" s="8">
        <v>103</v>
      </c>
    </row>
    <row r="7186" s="3" customFormat="1" ht="18.75" spans="1:5">
      <c r="A7186" s="8" t="str">
        <f t="shared" si="126"/>
        <v>250032</v>
      </c>
      <c r="B7186" s="8" t="str">
        <f>"2561408011402"</f>
        <v>2561408011402</v>
      </c>
      <c r="C7186" s="8" t="s">
        <v>14</v>
      </c>
      <c r="D7186" s="9">
        <v>57.13</v>
      </c>
      <c r="E7186" s="8">
        <v>104</v>
      </c>
    </row>
    <row r="7187" s="3" customFormat="1" ht="18.75" spans="1:5">
      <c r="A7187" s="8" t="str">
        <f t="shared" si="126"/>
        <v>250032</v>
      </c>
      <c r="B7187" s="8" t="str">
        <f>"2561408012008"</f>
        <v>2561408012008</v>
      </c>
      <c r="C7187" s="8" t="s">
        <v>14</v>
      </c>
      <c r="D7187" s="9">
        <v>57.05</v>
      </c>
      <c r="E7187" s="8">
        <v>105</v>
      </c>
    </row>
    <row r="7188" s="3" customFormat="1" ht="18.75" spans="1:5">
      <c r="A7188" s="8" t="str">
        <f t="shared" si="126"/>
        <v>250032</v>
      </c>
      <c r="B7188" s="8" t="str">
        <f>"2561408011726"</f>
        <v>2561408011726</v>
      </c>
      <c r="C7188" s="8" t="s">
        <v>14</v>
      </c>
      <c r="D7188" s="9">
        <v>57.03</v>
      </c>
      <c r="E7188" s="8">
        <v>106</v>
      </c>
    </row>
    <row r="7189" s="3" customFormat="1" ht="18.75" spans="1:5">
      <c r="A7189" s="8" t="str">
        <f t="shared" si="126"/>
        <v>250032</v>
      </c>
      <c r="B7189" s="8" t="str">
        <f>"2561408012115"</f>
        <v>2561408012115</v>
      </c>
      <c r="C7189" s="8" t="s">
        <v>14</v>
      </c>
      <c r="D7189" s="9">
        <v>56.84</v>
      </c>
      <c r="E7189" s="8">
        <v>107</v>
      </c>
    </row>
    <row r="7190" s="3" customFormat="1" ht="18.75" spans="1:5">
      <c r="A7190" s="8" t="str">
        <f t="shared" si="126"/>
        <v>250032</v>
      </c>
      <c r="B7190" s="8" t="str">
        <f>"2561408011630"</f>
        <v>2561408011630</v>
      </c>
      <c r="C7190" s="8" t="s">
        <v>14</v>
      </c>
      <c r="D7190" s="9">
        <v>56.81</v>
      </c>
      <c r="E7190" s="8">
        <v>108</v>
      </c>
    </row>
    <row r="7191" s="3" customFormat="1" ht="18.75" spans="1:5">
      <c r="A7191" s="8" t="str">
        <f t="shared" si="126"/>
        <v>250032</v>
      </c>
      <c r="B7191" s="8" t="str">
        <f>"2561408012502"</f>
        <v>2561408012502</v>
      </c>
      <c r="C7191" s="8" t="s">
        <v>14</v>
      </c>
      <c r="D7191" s="9">
        <v>56.73</v>
      </c>
      <c r="E7191" s="8">
        <v>109</v>
      </c>
    </row>
    <row r="7192" s="3" customFormat="1" ht="18.75" spans="1:5">
      <c r="A7192" s="8" t="str">
        <f t="shared" si="126"/>
        <v>250032</v>
      </c>
      <c r="B7192" s="8" t="str">
        <f>"2561408012213"</f>
        <v>2561408012213</v>
      </c>
      <c r="C7192" s="8" t="s">
        <v>14</v>
      </c>
      <c r="D7192" s="9">
        <v>56.66</v>
      </c>
      <c r="E7192" s="8">
        <v>110</v>
      </c>
    </row>
    <row r="7193" s="3" customFormat="1" ht="18.75" spans="1:5">
      <c r="A7193" s="8" t="str">
        <f t="shared" si="126"/>
        <v>250032</v>
      </c>
      <c r="B7193" s="8" t="str">
        <f>"2561408013019"</f>
        <v>2561408013019</v>
      </c>
      <c r="C7193" s="8" t="s">
        <v>14</v>
      </c>
      <c r="D7193" s="9">
        <v>56.64</v>
      </c>
      <c r="E7193" s="8">
        <v>111</v>
      </c>
    </row>
    <row r="7194" s="3" customFormat="1" ht="18.75" spans="1:5">
      <c r="A7194" s="8" t="str">
        <f t="shared" si="126"/>
        <v>250032</v>
      </c>
      <c r="B7194" s="8" t="str">
        <f>"2561408011804"</f>
        <v>2561408011804</v>
      </c>
      <c r="C7194" s="8" t="s">
        <v>14</v>
      </c>
      <c r="D7194" s="9">
        <v>56.63</v>
      </c>
      <c r="E7194" s="8">
        <v>112</v>
      </c>
    </row>
    <row r="7195" s="3" customFormat="1" ht="18.75" spans="1:5">
      <c r="A7195" s="8" t="str">
        <f t="shared" si="126"/>
        <v>250032</v>
      </c>
      <c r="B7195" s="8" t="str">
        <f>"2561408012627"</f>
        <v>2561408012627</v>
      </c>
      <c r="C7195" s="8" t="s">
        <v>14</v>
      </c>
      <c r="D7195" s="9">
        <v>56.6</v>
      </c>
      <c r="E7195" s="8">
        <v>113</v>
      </c>
    </row>
    <row r="7196" s="3" customFormat="1" ht="18.75" spans="1:5">
      <c r="A7196" s="8" t="str">
        <f t="shared" si="126"/>
        <v>250032</v>
      </c>
      <c r="B7196" s="8" t="str">
        <f>"2561408012828"</f>
        <v>2561408012828</v>
      </c>
      <c r="C7196" s="8" t="s">
        <v>14</v>
      </c>
      <c r="D7196" s="9">
        <v>56.58</v>
      </c>
      <c r="E7196" s="8">
        <v>114</v>
      </c>
    </row>
    <row r="7197" s="3" customFormat="1" ht="18.75" spans="1:5">
      <c r="A7197" s="8" t="str">
        <f t="shared" si="126"/>
        <v>250032</v>
      </c>
      <c r="B7197" s="8" t="str">
        <f>"2561408011920"</f>
        <v>2561408011920</v>
      </c>
      <c r="C7197" s="8" t="s">
        <v>14</v>
      </c>
      <c r="D7197" s="9">
        <v>56.55</v>
      </c>
      <c r="E7197" s="8">
        <v>115</v>
      </c>
    </row>
    <row r="7198" s="3" customFormat="1" ht="18.75" spans="1:5">
      <c r="A7198" s="8" t="str">
        <f t="shared" si="126"/>
        <v>250032</v>
      </c>
      <c r="B7198" s="8" t="str">
        <f>"2561408012617"</f>
        <v>2561408012617</v>
      </c>
      <c r="C7198" s="8" t="s">
        <v>14</v>
      </c>
      <c r="D7198" s="9">
        <v>56.5</v>
      </c>
      <c r="E7198" s="8">
        <v>116</v>
      </c>
    </row>
    <row r="7199" s="3" customFormat="1" ht="18.75" spans="1:5">
      <c r="A7199" s="8" t="str">
        <f t="shared" si="126"/>
        <v>250032</v>
      </c>
      <c r="B7199" s="8" t="str">
        <f>"2561408011409"</f>
        <v>2561408011409</v>
      </c>
      <c r="C7199" s="8" t="s">
        <v>14</v>
      </c>
      <c r="D7199" s="9">
        <v>56.49</v>
      </c>
      <c r="E7199" s="8">
        <v>117</v>
      </c>
    </row>
    <row r="7200" s="3" customFormat="1" ht="18.75" spans="1:5">
      <c r="A7200" s="8" t="str">
        <f t="shared" si="126"/>
        <v>250032</v>
      </c>
      <c r="B7200" s="8" t="str">
        <f>"2561408011703"</f>
        <v>2561408011703</v>
      </c>
      <c r="C7200" s="8" t="s">
        <v>14</v>
      </c>
      <c r="D7200" s="9">
        <v>56.41</v>
      </c>
      <c r="E7200" s="8">
        <v>118</v>
      </c>
    </row>
    <row r="7201" s="3" customFormat="1" ht="18.75" spans="1:5">
      <c r="A7201" s="8" t="str">
        <f t="shared" si="126"/>
        <v>250032</v>
      </c>
      <c r="B7201" s="8" t="str">
        <f>"2561408011625"</f>
        <v>2561408011625</v>
      </c>
      <c r="C7201" s="8" t="s">
        <v>14</v>
      </c>
      <c r="D7201" s="9">
        <v>56.34</v>
      </c>
      <c r="E7201" s="8">
        <v>119</v>
      </c>
    </row>
    <row r="7202" s="3" customFormat="1" ht="18.75" spans="1:5">
      <c r="A7202" s="8" t="str">
        <f t="shared" si="126"/>
        <v>250032</v>
      </c>
      <c r="B7202" s="8" t="str">
        <f>"2561408012327"</f>
        <v>2561408012327</v>
      </c>
      <c r="C7202" s="8" t="s">
        <v>14</v>
      </c>
      <c r="D7202" s="9">
        <v>56.19</v>
      </c>
      <c r="E7202" s="8">
        <v>120</v>
      </c>
    </row>
    <row r="7203" s="3" customFormat="1" ht="18.75" spans="1:5">
      <c r="A7203" s="8" t="str">
        <f t="shared" si="126"/>
        <v>250032</v>
      </c>
      <c r="B7203" s="8" t="str">
        <f>"2561408012930"</f>
        <v>2561408012930</v>
      </c>
      <c r="C7203" s="8" t="s">
        <v>14</v>
      </c>
      <c r="D7203" s="9">
        <v>56.1</v>
      </c>
      <c r="E7203" s="8">
        <v>121</v>
      </c>
    </row>
    <row r="7204" s="3" customFormat="1" ht="18.75" spans="1:5">
      <c r="A7204" s="8" t="str">
        <f t="shared" si="126"/>
        <v>250032</v>
      </c>
      <c r="B7204" s="8" t="str">
        <f>"2561408011716"</f>
        <v>2561408011716</v>
      </c>
      <c r="C7204" s="8" t="s">
        <v>14</v>
      </c>
      <c r="D7204" s="9">
        <v>56.08</v>
      </c>
      <c r="E7204" s="8">
        <v>122</v>
      </c>
    </row>
    <row r="7205" s="3" customFormat="1" ht="18.75" spans="1:5">
      <c r="A7205" s="8" t="str">
        <f t="shared" si="126"/>
        <v>250032</v>
      </c>
      <c r="B7205" s="8" t="str">
        <f>"2561408011821"</f>
        <v>2561408011821</v>
      </c>
      <c r="C7205" s="8" t="s">
        <v>14</v>
      </c>
      <c r="D7205" s="9">
        <v>56.06</v>
      </c>
      <c r="E7205" s="8">
        <v>123</v>
      </c>
    </row>
    <row r="7206" s="3" customFormat="1" ht="18.75" spans="1:5">
      <c r="A7206" s="8" t="str">
        <f t="shared" si="126"/>
        <v>250032</v>
      </c>
      <c r="B7206" s="8" t="str">
        <f>"2561408012027"</f>
        <v>2561408012027</v>
      </c>
      <c r="C7206" s="8" t="s">
        <v>14</v>
      </c>
      <c r="D7206" s="9">
        <v>55.96</v>
      </c>
      <c r="E7206" s="8">
        <v>124</v>
      </c>
    </row>
    <row r="7207" s="3" customFormat="1" ht="18.75" spans="1:5">
      <c r="A7207" s="8" t="str">
        <f t="shared" si="126"/>
        <v>250032</v>
      </c>
      <c r="B7207" s="8" t="str">
        <f>"2561408012019"</f>
        <v>2561408012019</v>
      </c>
      <c r="C7207" s="8" t="s">
        <v>14</v>
      </c>
      <c r="D7207" s="9">
        <v>55.78</v>
      </c>
      <c r="E7207" s="8">
        <v>125</v>
      </c>
    </row>
    <row r="7208" s="3" customFormat="1" ht="18.75" spans="1:5">
      <c r="A7208" s="8" t="str">
        <f t="shared" si="126"/>
        <v>250032</v>
      </c>
      <c r="B7208" s="8" t="str">
        <f>"2561408011511"</f>
        <v>2561408011511</v>
      </c>
      <c r="C7208" s="8" t="s">
        <v>14</v>
      </c>
      <c r="D7208" s="9">
        <v>55.69</v>
      </c>
      <c r="E7208" s="8">
        <v>126</v>
      </c>
    </row>
    <row r="7209" s="3" customFormat="1" ht="18.75" spans="1:5">
      <c r="A7209" s="8" t="str">
        <f t="shared" si="126"/>
        <v>250032</v>
      </c>
      <c r="B7209" s="8" t="str">
        <f>"2561408013024"</f>
        <v>2561408013024</v>
      </c>
      <c r="C7209" s="8" t="s">
        <v>14</v>
      </c>
      <c r="D7209" s="9">
        <v>55.6</v>
      </c>
      <c r="E7209" s="8">
        <v>127</v>
      </c>
    </row>
    <row r="7210" s="3" customFormat="1" ht="18.75" spans="1:5">
      <c r="A7210" s="8" t="str">
        <f t="shared" si="126"/>
        <v>250032</v>
      </c>
      <c r="B7210" s="8" t="str">
        <f>"2561408012704"</f>
        <v>2561408012704</v>
      </c>
      <c r="C7210" s="8" t="s">
        <v>14</v>
      </c>
      <c r="D7210" s="9">
        <v>55.59</v>
      </c>
      <c r="E7210" s="8">
        <v>128</v>
      </c>
    </row>
    <row r="7211" s="3" customFormat="1" ht="18.75" spans="1:5">
      <c r="A7211" s="8" t="str">
        <f t="shared" ref="A7211:A7274" si="127">"250032"</f>
        <v>250032</v>
      </c>
      <c r="B7211" s="8" t="str">
        <f>"2561408012016"</f>
        <v>2561408012016</v>
      </c>
      <c r="C7211" s="8" t="s">
        <v>14</v>
      </c>
      <c r="D7211" s="9">
        <v>55.56</v>
      </c>
      <c r="E7211" s="8">
        <v>129</v>
      </c>
    </row>
    <row r="7212" s="3" customFormat="1" ht="18.75" spans="1:5">
      <c r="A7212" s="8" t="str">
        <f t="shared" si="127"/>
        <v>250032</v>
      </c>
      <c r="B7212" s="8" t="str">
        <f>"2561408012520"</f>
        <v>2561408012520</v>
      </c>
      <c r="C7212" s="8" t="s">
        <v>14</v>
      </c>
      <c r="D7212" s="9">
        <v>55.53</v>
      </c>
      <c r="E7212" s="8">
        <v>130</v>
      </c>
    </row>
    <row r="7213" s="3" customFormat="1" ht="18.75" spans="1:5">
      <c r="A7213" s="8" t="str">
        <f t="shared" si="127"/>
        <v>250032</v>
      </c>
      <c r="B7213" s="8" t="str">
        <f>"2561408012805"</f>
        <v>2561408012805</v>
      </c>
      <c r="C7213" s="8" t="s">
        <v>14</v>
      </c>
      <c r="D7213" s="9">
        <v>55.53</v>
      </c>
      <c r="E7213" s="8">
        <v>130</v>
      </c>
    </row>
    <row r="7214" s="3" customFormat="1" ht="18.75" spans="1:5">
      <c r="A7214" s="8" t="str">
        <f t="shared" si="127"/>
        <v>250032</v>
      </c>
      <c r="B7214" s="8" t="str">
        <f>"2561408011518"</f>
        <v>2561408011518</v>
      </c>
      <c r="C7214" s="8" t="s">
        <v>14</v>
      </c>
      <c r="D7214" s="9">
        <v>55.36</v>
      </c>
      <c r="E7214" s="8">
        <v>132</v>
      </c>
    </row>
    <row r="7215" s="3" customFormat="1" ht="18.75" spans="1:5">
      <c r="A7215" s="8" t="str">
        <f t="shared" si="127"/>
        <v>250032</v>
      </c>
      <c r="B7215" s="8" t="str">
        <f>"2561408012628"</f>
        <v>2561408012628</v>
      </c>
      <c r="C7215" s="8" t="s">
        <v>14</v>
      </c>
      <c r="D7215" s="9">
        <v>55.34</v>
      </c>
      <c r="E7215" s="8">
        <v>133</v>
      </c>
    </row>
    <row r="7216" s="3" customFormat="1" ht="18.75" spans="1:5">
      <c r="A7216" s="8" t="str">
        <f t="shared" si="127"/>
        <v>250032</v>
      </c>
      <c r="B7216" s="8" t="str">
        <f>"2561408012507"</f>
        <v>2561408012507</v>
      </c>
      <c r="C7216" s="8" t="s">
        <v>14</v>
      </c>
      <c r="D7216" s="9">
        <v>55.33</v>
      </c>
      <c r="E7216" s="8">
        <v>134</v>
      </c>
    </row>
    <row r="7217" s="3" customFormat="1" ht="18.75" spans="1:5">
      <c r="A7217" s="8" t="str">
        <f t="shared" si="127"/>
        <v>250032</v>
      </c>
      <c r="B7217" s="8" t="str">
        <f>"2561408012523"</f>
        <v>2561408012523</v>
      </c>
      <c r="C7217" s="8" t="s">
        <v>14</v>
      </c>
      <c r="D7217" s="9">
        <v>55.28</v>
      </c>
      <c r="E7217" s="8">
        <v>135</v>
      </c>
    </row>
    <row r="7218" s="3" customFormat="1" ht="18.75" spans="1:5">
      <c r="A7218" s="8" t="str">
        <f t="shared" si="127"/>
        <v>250032</v>
      </c>
      <c r="B7218" s="8" t="str">
        <f>"2561408012212"</f>
        <v>2561408012212</v>
      </c>
      <c r="C7218" s="8" t="s">
        <v>14</v>
      </c>
      <c r="D7218" s="9">
        <v>55.24</v>
      </c>
      <c r="E7218" s="8">
        <v>136</v>
      </c>
    </row>
    <row r="7219" s="3" customFormat="1" ht="18.75" spans="1:5">
      <c r="A7219" s="8" t="str">
        <f t="shared" si="127"/>
        <v>250032</v>
      </c>
      <c r="B7219" s="8" t="str">
        <f>"2561408011903"</f>
        <v>2561408011903</v>
      </c>
      <c r="C7219" s="8" t="s">
        <v>14</v>
      </c>
      <c r="D7219" s="9">
        <v>55.2</v>
      </c>
      <c r="E7219" s="8">
        <v>137</v>
      </c>
    </row>
    <row r="7220" s="3" customFormat="1" ht="18.75" spans="1:5">
      <c r="A7220" s="8" t="str">
        <f t="shared" si="127"/>
        <v>250032</v>
      </c>
      <c r="B7220" s="8" t="str">
        <f>"2561408012808"</f>
        <v>2561408012808</v>
      </c>
      <c r="C7220" s="8" t="s">
        <v>14</v>
      </c>
      <c r="D7220" s="9">
        <v>55.15</v>
      </c>
      <c r="E7220" s="8">
        <v>138</v>
      </c>
    </row>
    <row r="7221" s="3" customFormat="1" ht="18.75" spans="1:5">
      <c r="A7221" s="8" t="str">
        <f t="shared" si="127"/>
        <v>250032</v>
      </c>
      <c r="B7221" s="8" t="str">
        <f>"2561408012726"</f>
        <v>2561408012726</v>
      </c>
      <c r="C7221" s="8" t="s">
        <v>14</v>
      </c>
      <c r="D7221" s="9">
        <v>54.9</v>
      </c>
      <c r="E7221" s="8">
        <v>139</v>
      </c>
    </row>
    <row r="7222" s="3" customFormat="1" ht="18.75" spans="1:5">
      <c r="A7222" s="8" t="str">
        <f t="shared" si="127"/>
        <v>250032</v>
      </c>
      <c r="B7222" s="8" t="str">
        <f>"2561408012030"</f>
        <v>2561408012030</v>
      </c>
      <c r="C7222" s="8" t="s">
        <v>14</v>
      </c>
      <c r="D7222" s="9">
        <v>54.84</v>
      </c>
      <c r="E7222" s="8">
        <v>140</v>
      </c>
    </row>
    <row r="7223" s="3" customFormat="1" ht="18.75" spans="1:5">
      <c r="A7223" s="8" t="str">
        <f t="shared" si="127"/>
        <v>250032</v>
      </c>
      <c r="B7223" s="8" t="str">
        <f>"2561408012902"</f>
        <v>2561408012902</v>
      </c>
      <c r="C7223" s="8" t="s">
        <v>14</v>
      </c>
      <c r="D7223" s="9">
        <v>54.81</v>
      </c>
      <c r="E7223" s="8">
        <v>141</v>
      </c>
    </row>
    <row r="7224" s="3" customFormat="1" ht="18.75" spans="1:5">
      <c r="A7224" s="8" t="str">
        <f t="shared" si="127"/>
        <v>250032</v>
      </c>
      <c r="B7224" s="8" t="str">
        <f>"2561408011828"</f>
        <v>2561408011828</v>
      </c>
      <c r="C7224" s="8" t="s">
        <v>14</v>
      </c>
      <c r="D7224" s="9">
        <v>54.79</v>
      </c>
      <c r="E7224" s="8">
        <v>142</v>
      </c>
    </row>
    <row r="7225" s="3" customFormat="1" ht="18.75" spans="1:5">
      <c r="A7225" s="8" t="str">
        <f t="shared" si="127"/>
        <v>250032</v>
      </c>
      <c r="B7225" s="8" t="str">
        <f>"2561408012529"</f>
        <v>2561408012529</v>
      </c>
      <c r="C7225" s="8" t="s">
        <v>14</v>
      </c>
      <c r="D7225" s="9">
        <v>54.77</v>
      </c>
      <c r="E7225" s="8">
        <v>143</v>
      </c>
    </row>
    <row r="7226" s="3" customFormat="1" ht="18.75" spans="1:5">
      <c r="A7226" s="8" t="str">
        <f t="shared" si="127"/>
        <v>250032</v>
      </c>
      <c r="B7226" s="8" t="str">
        <f>"2561408013016"</f>
        <v>2561408013016</v>
      </c>
      <c r="C7226" s="8" t="s">
        <v>14</v>
      </c>
      <c r="D7226" s="9">
        <v>54.76</v>
      </c>
      <c r="E7226" s="8">
        <v>144</v>
      </c>
    </row>
    <row r="7227" s="3" customFormat="1" ht="18.75" spans="1:5">
      <c r="A7227" s="8" t="str">
        <f t="shared" si="127"/>
        <v>250032</v>
      </c>
      <c r="B7227" s="8" t="str">
        <f>"2561408011815"</f>
        <v>2561408011815</v>
      </c>
      <c r="C7227" s="8" t="s">
        <v>14</v>
      </c>
      <c r="D7227" s="9">
        <v>54.64</v>
      </c>
      <c r="E7227" s="8">
        <v>145</v>
      </c>
    </row>
    <row r="7228" s="3" customFormat="1" ht="18.75" spans="1:5">
      <c r="A7228" s="8" t="str">
        <f t="shared" si="127"/>
        <v>250032</v>
      </c>
      <c r="B7228" s="8" t="str">
        <f>"2561408012425"</f>
        <v>2561408012425</v>
      </c>
      <c r="C7228" s="8" t="s">
        <v>14</v>
      </c>
      <c r="D7228" s="9">
        <v>54.6</v>
      </c>
      <c r="E7228" s="8">
        <v>146</v>
      </c>
    </row>
    <row r="7229" s="3" customFormat="1" ht="18.75" spans="1:5">
      <c r="A7229" s="8" t="str">
        <f t="shared" si="127"/>
        <v>250032</v>
      </c>
      <c r="B7229" s="8" t="str">
        <f>"2561408013008"</f>
        <v>2561408013008</v>
      </c>
      <c r="C7229" s="8" t="s">
        <v>14</v>
      </c>
      <c r="D7229" s="9">
        <v>54.56</v>
      </c>
      <c r="E7229" s="8">
        <v>147</v>
      </c>
    </row>
    <row r="7230" s="3" customFormat="1" ht="18.75" spans="1:5">
      <c r="A7230" s="8" t="str">
        <f t="shared" si="127"/>
        <v>250032</v>
      </c>
      <c r="B7230" s="8" t="str">
        <f>"2561408012009"</f>
        <v>2561408012009</v>
      </c>
      <c r="C7230" s="8" t="s">
        <v>14</v>
      </c>
      <c r="D7230" s="9">
        <v>54.52</v>
      </c>
      <c r="E7230" s="8">
        <v>148</v>
      </c>
    </row>
    <row r="7231" s="3" customFormat="1" ht="18.75" spans="1:5">
      <c r="A7231" s="8" t="str">
        <f t="shared" si="127"/>
        <v>250032</v>
      </c>
      <c r="B7231" s="8" t="str">
        <f>"2561408012410"</f>
        <v>2561408012410</v>
      </c>
      <c r="C7231" s="8" t="s">
        <v>14</v>
      </c>
      <c r="D7231" s="9">
        <v>54.46</v>
      </c>
      <c r="E7231" s="8">
        <v>149</v>
      </c>
    </row>
    <row r="7232" s="3" customFormat="1" ht="18.75" spans="1:5">
      <c r="A7232" s="8" t="str">
        <f t="shared" si="127"/>
        <v>250032</v>
      </c>
      <c r="B7232" s="8" t="str">
        <f>"2561408013029"</f>
        <v>2561408013029</v>
      </c>
      <c r="C7232" s="8" t="s">
        <v>14</v>
      </c>
      <c r="D7232" s="9">
        <v>54.45</v>
      </c>
      <c r="E7232" s="8">
        <v>150</v>
      </c>
    </row>
    <row r="7233" s="3" customFormat="1" ht="18.75" spans="1:5">
      <c r="A7233" s="8" t="str">
        <f t="shared" si="127"/>
        <v>250032</v>
      </c>
      <c r="B7233" s="8" t="str">
        <f>"2561408011717"</f>
        <v>2561408011717</v>
      </c>
      <c r="C7233" s="8" t="s">
        <v>14</v>
      </c>
      <c r="D7233" s="9">
        <v>54.44</v>
      </c>
      <c r="E7233" s="8">
        <v>151</v>
      </c>
    </row>
    <row r="7234" s="3" customFormat="1" ht="18.75" spans="1:5">
      <c r="A7234" s="8" t="str">
        <f t="shared" si="127"/>
        <v>250032</v>
      </c>
      <c r="B7234" s="8" t="str">
        <f>"2561408011921"</f>
        <v>2561408011921</v>
      </c>
      <c r="C7234" s="8" t="s">
        <v>14</v>
      </c>
      <c r="D7234" s="9">
        <v>54.32</v>
      </c>
      <c r="E7234" s="8">
        <v>152</v>
      </c>
    </row>
    <row r="7235" s="3" customFormat="1" ht="18.75" spans="1:5">
      <c r="A7235" s="8" t="str">
        <f t="shared" si="127"/>
        <v>250032</v>
      </c>
      <c r="B7235" s="8" t="str">
        <f>"2561408012615"</f>
        <v>2561408012615</v>
      </c>
      <c r="C7235" s="8" t="s">
        <v>14</v>
      </c>
      <c r="D7235" s="9">
        <v>54.3</v>
      </c>
      <c r="E7235" s="8">
        <v>153</v>
      </c>
    </row>
    <row r="7236" s="3" customFormat="1" ht="18.75" spans="1:5">
      <c r="A7236" s="8" t="str">
        <f t="shared" si="127"/>
        <v>250032</v>
      </c>
      <c r="B7236" s="8" t="str">
        <f>"2561408012919"</f>
        <v>2561408012919</v>
      </c>
      <c r="C7236" s="8" t="s">
        <v>14</v>
      </c>
      <c r="D7236" s="9">
        <v>54.29</v>
      </c>
      <c r="E7236" s="8">
        <v>154</v>
      </c>
    </row>
    <row r="7237" s="3" customFormat="1" ht="18.75" spans="1:5">
      <c r="A7237" s="8" t="str">
        <f t="shared" si="127"/>
        <v>250032</v>
      </c>
      <c r="B7237" s="8" t="str">
        <f>"2561408011613"</f>
        <v>2561408011613</v>
      </c>
      <c r="C7237" s="8" t="s">
        <v>14</v>
      </c>
      <c r="D7237" s="9">
        <v>54.11</v>
      </c>
      <c r="E7237" s="8">
        <v>155</v>
      </c>
    </row>
    <row r="7238" s="3" customFormat="1" ht="18.75" spans="1:5">
      <c r="A7238" s="8" t="str">
        <f t="shared" si="127"/>
        <v>250032</v>
      </c>
      <c r="B7238" s="8" t="str">
        <f>"2561408012222"</f>
        <v>2561408012222</v>
      </c>
      <c r="C7238" s="8" t="s">
        <v>14</v>
      </c>
      <c r="D7238" s="9">
        <v>54.05</v>
      </c>
      <c r="E7238" s="8">
        <v>156</v>
      </c>
    </row>
    <row r="7239" s="3" customFormat="1" ht="18.75" spans="1:5">
      <c r="A7239" s="8" t="str">
        <f t="shared" si="127"/>
        <v>250032</v>
      </c>
      <c r="B7239" s="8" t="str">
        <f>"2561408012829"</f>
        <v>2561408012829</v>
      </c>
      <c r="C7239" s="8" t="s">
        <v>14</v>
      </c>
      <c r="D7239" s="9">
        <v>53.96</v>
      </c>
      <c r="E7239" s="8">
        <v>157</v>
      </c>
    </row>
    <row r="7240" s="3" customFormat="1" ht="18.75" spans="1:5">
      <c r="A7240" s="8" t="str">
        <f t="shared" si="127"/>
        <v>250032</v>
      </c>
      <c r="B7240" s="8" t="str">
        <f>"2561408013009"</f>
        <v>2561408013009</v>
      </c>
      <c r="C7240" s="8" t="s">
        <v>14</v>
      </c>
      <c r="D7240" s="9">
        <v>53.76</v>
      </c>
      <c r="E7240" s="8">
        <v>158</v>
      </c>
    </row>
    <row r="7241" s="3" customFormat="1" ht="18.75" spans="1:5">
      <c r="A7241" s="8" t="str">
        <f t="shared" si="127"/>
        <v>250032</v>
      </c>
      <c r="B7241" s="8" t="str">
        <f>"2561408012426"</f>
        <v>2561408012426</v>
      </c>
      <c r="C7241" s="8" t="s">
        <v>14</v>
      </c>
      <c r="D7241" s="9">
        <v>53.75</v>
      </c>
      <c r="E7241" s="8">
        <v>159</v>
      </c>
    </row>
    <row r="7242" s="3" customFormat="1" ht="18.75" spans="1:5">
      <c r="A7242" s="8" t="str">
        <f t="shared" si="127"/>
        <v>250032</v>
      </c>
      <c r="B7242" s="8" t="str">
        <f>"2561408012503"</f>
        <v>2561408012503</v>
      </c>
      <c r="C7242" s="8" t="s">
        <v>14</v>
      </c>
      <c r="D7242" s="9">
        <v>53.74</v>
      </c>
      <c r="E7242" s="8">
        <v>160</v>
      </c>
    </row>
    <row r="7243" s="3" customFormat="1" ht="18.75" spans="1:5">
      <c r="A7243" s="8" t="str">
        <f t="shared" si="127"/>
        <v>250032</v>
      </c>
      <c r="B7243" s="8" t="str">
        <f>"2561408012630"</f>
        <v>2561408012630</v>
      </c>
      <c r="C7243" s="8" t="s">
        <v>14</v>
      </c>
      <c r="D7243" s="9">
        <v>53.71</v>
      </c>
      <c r="E7243" s="8">
        <v>161</v>
      </c>
    </row>
    <row r="7244" s="3" customFormat="1" ht="18.75" spans="1:5">
      <c r="A7244" s="8" t="str">
        <f t="shared" si="127"/>
        <v>250032</v>
      </c>
      <c r="B7244" s="8" t="str">
        <f>"2561408011520"</f>
        <v>2561408011520</v>
      </c>
      <c r="C7244" s="8" t="s">
        <v>14</v>
      </c>
      <c r="D7244" s="9">
        <v>53.66</v>
      </c>
      <c r="E7244" s="8">
        <v>162</v>
      </c>
    </row>
    <row r="7245" s="3" customFormat="1" ht="18.75" spans="1:5">
      <c r="A7245" s="8" t="str">
        <f t="shared" si="127"/>
        <v>250032</v>
      </c>
      <c r="B7245" s="8" t="str">
        <f>"2561408012402"</f>
        <v>2561408012402</v>
      </c>
      <c r="C7245" s="8" t="s">
        <v>14</v>
      </c>
      <c r="D7245" s="9">
        <v>53.63</v>
      </c>
      <c r="E7245" s="8">
        <v>163</v>
      </c>
    </row>
    <row r="7246" s="3" customFormat="1" ht="18.75" spans="1:5">
      <c r="A7246" s="8" t="str">
        <f t="shared" si="127"/>
        <v>250032</v>
      </c>
      <c r="B7246" s="8" t="str">
        <f>"2561408012011"</f>
        <v>2561408012011</v>
      </c>
      <c r="C7246" s="8" t="s">
        <v>14</v>
      </c>
      <c r="D7246" s="9">
        <v>53.55</v>
      </c>
      <c r="E7246" s="8">
        <v>164</v>
      </c>
    </row>
    <row r="7247" s="3" customFormat="1" ht="18.75" spans="1:5">
      <c r="A7247" s="8" t="str">
        <f t="shared" si="127"/>
        <v>250032</v>
      </c>
      <c r="B7247" s="8" t="str">
        <f>"2561408011812"</f>
        <v>2561408011812</v>
      </c>
      <c r="C7247" s="8" t="s">
        <v>14</v>
      </c>
      <c r="D7247" s="9">
        <v>53.5</v>
      </c>
      <c r="E7247" s="8">
        <v>165</v>
      </c>
    </row>
    <row r="7248" s="3" customFormat="1" ht="18.75" spans="1:5">
      <c r="A7248" s="8" t="str">
        <f t="shared" si="127"/>
        <v>250032</v>
      </c>
      <c r="B7248" s="8" t="str">
        <f>"2561408011911"</f>
        <v>2561408011911</v>
      </c>
      <c r="C7248" s="8" t="s">
        <v>14</v>
      </c>
      <c r="D7248" s="9">
        <v>53.5</v>
      </c>
      <c r="E7248" s="8">
        <v>165</v>
      </c>
    </row>
    <row r="7249" s="3" customFormat="1" ht="18.75" spans="1:5">
      <c r="A7249" s="8" t="str">
        <f t="shared" si="127"/>
        <v>250032</v>
      </c>
      <c r="B7249" s="8" t="str">
        <f>"2561408012721"</f>
        <v>2561408012721</v>
      </c>
      <c r="C7249" s="8" t="s">
        <v>14</v>
      </c>
      <c r="D7249" s="9">
        <v>53.42</v>
      </c>
      <c r="E7249" s="8">
        <v>167</v>
      </c>
    </row>
    <row r="7250" s="3" customFormat="1" ht="18.75" spans="1:5">
      <c r="A7250" s="8" t="str">
        <f t="shared" si="127"/>
        <v>250032</v>
      </c>
      <c r="B7250" s="8" t="str">
        <f>"2561408013105"</f>
        <v>2561408013105</v>
      </c>
      <c r="C7250" s="8" t="s">
        <v>14</v>
      </c>
      <c r="D7250" s="9">
        <v>53.38</v>
      </c>
      <c r="E7250" s="8">
        <v>168</v>
      </c>
    </row>
    <row r="7251" s="3" customFormat="1" ht="18.75" spans="1:5">
      <c r="A7251" s="8" t="str">
        <f t="shared" si="127"/>
        <v>250032</v>
      </c>
      <c r="B7251" s="8" t="str">
        <f>"2561408012017"</f>
        <v>2561408012017</v>
      </c>
      <c r="C7251" s="8" t="s">
        <v>14</v>
      </c>
      <c r="D7251" s="9">
        <v>53.37</v>
      </c>
      <c r="E7251" s="8">
        <v>169</v>
      </c>
    </row>
    <row r="7252" s="3" customFormat="1" ht="18.75" spans="1:5">
      <c r="A7252" s="8" t="str">
        <f t="shared" si="127"/>
        <v>250032</v>
      </c>
      <c r="B7252" s="8" t="str">
        <f>"2561408011814"</f>
        <v>2561408011814</v>
      </c>
      <c r="C7252" s="8" t="s">
        <v>14</v>
      </c>
      <c r="D7252" s="9">
        <v>53.25</v>
      </c>
      <c r="E7252" s="8">
        <v>170</v>
      </c>
    </row>
    <row r="7253" s="3" customFormat="1" ht="18.75" spans="1:5">
      <c r="A7253" s="8" t="str">
        <f t="shared" si="127"/>
        <v>250032</v>
      </c>
      <c r="B7253" s="8" t="str">
        <f>"2561408011915"</f>
        <v>2561408011915</v>
      </c>
      <c r="C7253" s="8" t="s">
        <v>14</v>
      </c>
      <c r="D7253" s="9">
        <v>53.24</v>
      </c>
      <c r="E7253" s="8">
        <v>171</v>
      </c>
    </row>
    <row r="7254" s="3" customFormat="1" ht="18.75" spans="1:5">
      <c r="A7254" s="8" t="str">
        <f t="shared" si="127"/>
        <v>250032</v>
      </c>
      <c r="B7254" s="8" t="str">
        <f>"2561408012326"</f>
        <v>2561408012326</v>
      </c>
      <c r="C7254" s="8" t="s">
        <v>14</v>
      </c>
      <c r="D7254" s="9">
        <v>53.2</v>
      </c>
      <c r="E7254" s="8">
        <v>172</v>
      </c>
    </row>
    <row r="7255" s="3" customFormat="1" ht="18.75" spans="1:5">
      <c r="A7255" s="8" t="str">
        <f t="shared" si="127"/>
        <v>250032</v>
      </c>
      <c r="B7255" s="8" t="str">
        <f>"2561408012822"</f>
        <v>2561408012822</v>
      </c>
      <c r="C7255" s="8" t="s">
        <v>14</v>
      </c>
      <c r="D7255" s="9">
        <v>53.2</v>
      </c>
      <c r="E7255" s="8">
        <v>172</v>
      </c>
    </row>
    <row r="7256" s="3" customFormat="1" ht="18.75" spans="1:5">
      <c r="A7256" s="8" t="str">
        <f t="shared" si="127"/>
        <v>250032</v>
      </c>
      <c r="B7256" s="8" t="str">
        <f>"2561408011604"</f>
        <v>2561408011604</v>
      </c>
      <c r="C7256" s="8" t="s">
        <v>14</v>
      </c>
      <c r="D7256" s="9">
        <v>53.17</v>
      </c>
      <c r="E7256" s="8">
        <v>174</v>
      </c>
    </row>
    <row r="7257" s="3" customFormat="1" ht="18.75" spans="1:5">
      <c r="A7257" s="8" t="str">
        <f t="shared" si="127"/>
        <v>250032</v>
      </c>
      <c r="B7257" s="8" t="str">
        <f>"2561408012729"</f>
        <v>2561408012729</v>
      </c>
      <c r="C7257" s="8" t="s">
        <v>14</v>
      </c>
      <c r="D7257" s="9">
        <v>53.06</v>
      </c>
      <c r="E7257" s="8">
        <v>175</v>
      </c>
    </row>
    <row r="7258" s="3" customFormat="1" ht="18.75" spans="1:5">
      <c r="A7258" s="8" t="str">
        <f t="shared" si="127"/>
        <v>250032</v>
      </c>
      <c r="B7258" s="8" t="str">
        <f>"2561408011715"</f>
        <v>2561408011715</v>
      </c>
      <c r="C7258" s="8" t="s">
        <v>14</v>
      </c>
      <c r="D7258" s="9">
        <v>53.03</v>
      </c>
      <c r="E7258" s="8">
        <v>176</v>
      </c>
    </row>
    <row r="7259" s="3" customFormat="1" ht="18.75" spans="1:5">
      <c r="A7259" s="8" t="str">
        <f t="shared" si="127"/>
        <v>250032</v>
      </c>
      <c r="B7259" s="8" t="str">
        <f>"2561408011830"</f>
        <v>2561408011830</v>
      </c>
      <c r="C7259" s="8" t="s">
        <v>14</v>
      </c>
      <c r="D7259" s="9">
        <v>52.95</v>
      </c>
      <c r="E7259" s="8">
        <v>177</v>
      </c>
    </row>
    <row r="7260" s="3" customFormat="1" ht="18.75" spans="1:5">
      <c r="A7260" s="8" t="str">
        <f t="shared" si="127"/>
        <v>250032</v>
      </c>
      <c r="B7260" s="8" t="str">
        <f>"2561408012530"</f>
        <v>2561408012530</v>
      </c>
      <c r="C7260" s="8" t="s">
        <v>14</v>
      </c>
      <c r="D7260" s="9">
        <v>52.87</v>
      </c>
      <c r="E7260" s="8">
        <v>178</v>
      </c>
    </row>
    <row r="7261" s="3" customFormat="1" ht="18.75" spans="1:5">
      <c r="A7261" s="8" t="str">
        <f t="shared" si="127"/>
        <v>250032</v>
      </c>
      <c r="B7261" s="8" t="str">
        <f>"2561408012103"</f>
        <v>2561408012103</v>
      </c>
      <c r="C7261" s="8" t="s">
        <v>14</v>
      </c>
      <c r="D7261" s="9">
        <v>52.86</v>
      </c>
      <c r="E7261" s="8">
        <v>179</v>
      </c>
    </row>
    <row r="7262" s="3" customFormat="1" ht="18.75" spans="1:5">
      <c r="A7262" s="8" t="str">
        <f t="shared" si="127"/>
        <v>250032</v>
      </c>
      <c r="B7262" s="8" t="str">
        <f>"2561408012128"</f>
        <v>2561408012128</v>
      </c>
      <c r="C7262" s="8" t="s">
        <v>14</v>
      </c>
      <c r="D7262" s="9">
        <v>52.85</v>
      </c>
      <c r="E7262" s="8">
        <v>180</v>
      </c>
    </row>
    <row r="7263" s="3" customFormat="1" ht="18.75" spans="1:5">
      <c r="A7263" s="8" t="str">
        <f t="shared" si="127"/>
        <v>250032</v>
      </c>
      <c r="B7263" s="8" t="str">
        <f>"2561408012716"</f>
        <v>2561408012716</v>
      </c>
      <c r="C7263" s="8" t="s">
        <v>14</v>
      </c>
      <c r="D7263" s="9">
        <v>52.82</v>
      </c>
      <c r="E7263" s="8">
        <v>181</v>
      </c>
    </row>
    <row r="7264" s="3" customFormat="1" ht="18.75" spans="1:5">
      <c r="A7264" s="8" t="str">
        <f t="shared" si="127"/>
        <v>250032</v>
      </c>
      <c r="B7264" s="8" t="str">
        <f>"2561408012516"</f>
        <v>2561408012516</v>
      </c>
      <c r="C7264" s="8" t="s">
        <v>14</v>
      </c>
      <c r="D7264" s="9">
        <v>52.78</v>
      </c>
      <c r="E7264" s="8">
        <v>182</v>
      </c>
    </row>
    <row r="7265" s="3" customFormat="1" ht="18.75" spans="1:5">
      <c r="A7265" s="8" t="str">
        <f t="shared" si="127"/>
        <v>250032</v>
      </c>
      <c r="B7265" s="8" t="str">
        <f>"2561408013018"</f>
        <v>2561408013018</v>
      </c>
      <c r="C7265" s="8" t="s">
        <v>14</v>
      </c>
      <c r="D7265" s="9">
        <v>52.63</v>
      </c>
      <c r="E7265" s="8">
        <v>183</v>
      </c>
    </row>
    <row r="7266" s="3" customFormat="1" ht="18.75" spans="1:5">
      <c r="A7266" s="8" t="str">
        <f t="shared" si="127"/>
        <v>250032</v>
      </c>
      <c r="B7266" s="8" t="str">
        <f>"2561408012924"</f>
        <v>2561408012924</v>
      </c>
      <c r="C7266" s="8" t="s">
        <v>14</v>
      </c>
      <c r="D7266" s="9">
        <v>52.58</v>
      </c>
      <c r="E7266" s="8">
        <v>184</v>
      </c>
    </row>
    <row r="7267" s="3" customFormat="1" ht="18.75" spans="1:5">
      <c r="A7267" s="8" t="str">
        <f t="shared" si="127"/>
        <v>250032</v>
      </c>
      <c r="B7267" s="8" t="str">
        <f>"2561408012203"</f>
        <v>2561408012203</v>
      </c>
      <c r="C7267" s="8" t="s">
        <v>14</v>
      </c>
      <c r="D7267" s="9">
        <v>52.34</v>
      </c>
      <c r="E7267" s="8">
        <v>185</v>
      </c>
    </row>
    <row r="7268" s="3" customFormat="1" ht="18.75" spans="1:5">
      <c r="A7268" s="8" t="str">
        <f t="shared" si="127"/>
        <v>250032</v>
      </c>
      <c r="B7268" s="8" t="str">
        <f>"2561408012004"</f>
        <v>2561408012004</v>
      </c>
      <c r="C7268" s="8" t="s">
        <v>14</v>
      </c>
      <c r="D7268" s="9">
        <v>52.31</v>
      </c>
      <c r="E7268" s="8">
        <v>186</v>
      </c>
    </row>
    <row r="7269" s="3" customFormat="1" ht="18.75" spans="1:5">
      <c r="A7269" s="8" t="str">
        <f t="shared" si="127"/>
        <v>250032</v>
      </c>
      <c r="B7269" s="8" t="str">
        <f>"2561408011410"</f>
        <v>2561408011410</v>
      </c>
      <c r="C7269" s="8" t="s">
        <v>14</v>
      </c>
      <c r="D7269" s="9">
        <v>52.17</v>
      </c>
      <c r="E7269" s="8">
        <v>187</v>
      </c>
    </row>
    <row r="7270" s="3" customFormat="1" ht="18.75" spans="1:5">
      <c r="A7270" s="8" t="str">
        <f t="shared" si="127"/>
        <v>250032</v>
      </c>
      <c r="B7270" s="8" t="str">
        <f>"2561408012028"</f>
        <v>2561408012028</v>
      </c>
      <c r="C7270" s="8" t="s">
        <v>14</v>
      </c>
      <c r="D7270" s="9">
        <v>52.16</v>
      </c>
      <c r="E7270" s="8">
        <v>188</v>
      </c>
    </row>
    <row r="7271" s="3" customFormat="1" ht="18.75" spans="1:5">
      <c r="A7271" s="8" t="str">
        <f t="shared" si="127"/>
        <v>250032</v>
      </c>
      <c r="B7271" s="8" t="str">
        <f>"2561408012015"</f>
        <v>2561408012015</v>
      </c>
      <c r="C7271" s="8" t="s">
        <v>14</v>
      </c>
      <c r="D7271" s="9">
        <v>52.13</v>
      </c>
      <c r="E7271" s="8">
        <v>189</v>
      </c>
    </row>
    <row r="7272" s="3" customFormat="1" ht="18.75" spans="1:5">
      <c r="A7272" s="8" t="str">
        <f t="shared" si="127"/>
        <v>250032</v>
      </c>
      <c r="B7272" s="8" t="str">
        <f>"2561408012006"</f>
        <v>2561408012006</v>
      </c>
      <c r="C7272" s="8" t="s">
        <v>14</v>
      </c>
      <c r="D7272" s="9">
        <v>51.96</v>
      </c>
      <c r="E7272" s="8">
        <v>190</v>
      </c>
    </row>
    <row r="7273" s="3" customFormat="1" ht="18.75" spans="1:5">
      <c r="A7273" s="8" t="str">
        <f t="shared" si="127"/>
        <v>250032</v>
      </c>
      <c r="B7273" s="8" t="str">
        <f>"2561408011515"</f>
        <v>2561408011515</v>
      </c>
      <c r="C7273" s="8" t="s">
        <v>14</v>
      </c>
      <c r="D7273" s="9">
        <v>51.92</v>
      </c>
      <c r="E7273" s="8">
        <v>191</v>
      </c>
    </row>
    <row r="7274" s="3" customFormat="1" ht="18.75" spans="1:5">
      <c r="A7274" s="8" t="str">
        <f t="shared" si="127"/>
        <v>250032</v>
      </c>
      <c r="B7274" s="8" t="str">
        <f>"2561408012823"</f>
        <v>2561408012823</v>
      </c>
      <c r="C7274" s="8" t="s">
        <v>14</v>
      </c>
      <c r="D7274" s="9">
        <v>51.91</v>
      </c>
      <c r="E7274" s="8">
        <v>192</v>
      </c>
    </row>
    <row r="7275" s="3" customFormat="1" ht="18.75" spans="1:5">
      <c r="A7275" s="8" t="str">
        <f t="shared" ref="A7275:A7338" si="128">"250032"</f>
        <v>250032</v>
      </c>
      <c r="B7275" s="8" t="str">
        <f>"2561408013107"</f>
        <v>2561408013107</v>
      </c>
      <c r="C7275" s="8" t="s">
        <v>14</v>
      </c>
      <c r="D7275" s="9">
        <v>51.91</v>
      </c>
      <c r="E7275" s="8">
        <v>192</v>
      </c>
    </row>
    <row r="7276" s="3" customFormat="1" ht="18.75" spans="1:5">
      <c r="A7276" s="8" t="str">
        <f t="shared" si="128"/>
        <v>250032</v>
      </c>
      <c r="B7276" s="8" t="str">
        <f>"2561408012224"</f>
        <v>2561408012224</v>
      </c>
      <c r="C7276" s="8" t="s">
        <v>14</v>
      </c>
      <c r="D7276" s="9">
        <v>51.88</v>
      </c>
      <c r="E7276" s="8">
        <v>194</v>
      </c>
    </row>
    <row r="7277" s="3" customFormat="1" ht="18.75" spans="1:5">
      <c r="A7277" s="8" t="str">
        <f t="shared" si="128"/>
        <v>250032</v>
      </c>
      <c r="B7277" s="8" t="str">
        <f>"2561408011427"</f>
        <v>2561408011427</v>
      </c>
      <c r="C7277" s="8" t="s">
        <v>14</v>
      </c>
      <c r="D7277" s="9">
        <v>51.8</v>
      </c>
      <c r="E7277" s="8">
        <v>195</v>
      </c>
    </row>
    <row r="7278" s="3" customFormat="1" ht="18.75" spans="1:5">
      <c r="A7278" s="8" t="str">
        <f t="shared" si="128"/>
        <v>250032</v>
      </c>
      <c r="B7278" s="8" t="str">
        <f>"2561408011817"</f>
        <v>2561408011817</v>
      </c>
      <c r="C7278" s="8" t="s">
        <v>14</v>
      </c>
      <c r="D7278" s="9">
        <v>51.72</v>
      </c>
      <c r="E7278" s="8">
        <v>196</v>
      </c>
    </row>
    <row r="7279" s="3" customFormat="1" ht="18.75" spans="1:5">
      <c r="A7279" s="8" t="str">
        <f t="shared" si="128"/>
        <v>250032</v>
      </c>
      <c r="B7279" s="8" t="str">
        <f>"2561408012325"</f>
        <v>2561408012325</v>
      </c>
      <c r="C7279" s="8" t="s">
        <v>14</v>
      </c>
      <c r="D7279" s="9">
        <v>51.66</v>
      </c>
      <c r="E7279" s="8">
        <v>197</v>
      </c>
    </row>
    <row r="7280" s="3" customFormat="1" ht="18.75" spans="1:5">
      <c r="A7280" s="8" t="str">
        <f t="shared" si="128"/>
        <v>250032</v>
      </c>
      <c r="B7280" s="8" t="str">
        <f>"2561408012422"</f>
        <v>2561408012422</v>
      </c>
      <c r="C7280" s="8" t="s">
        <v>14</v>
      </c>
      <c r="D7280" s="9">
        <v>51.64</v>
      </c>
      <c r="E7280" s="8">
        <v>198</v>
      </c>
    </row>
    <row r="7281" s="3" customFormat="1" ht="18.75" spans="1:5">
      <c r="A7281" s="8" t="str">
        <f t="shared" si="128"/>
        <v>250032</v>
      </c>
      <c r="B7281" s="8" t="str">
        <f>"2561408012714"</f>
        <v>2561408012714</v>
      </c>
      <c r="C7281" s="8" t="s">
        <v>14</v>
      </c>
      <c r="D7281" s="9">
        <v>51.57</v>
      </c>
      <c r="E7281" s="8">
        <v>199</v>
      </c>
    </row>
    <row r="7282" s="3" customFormat="1" ht="18.75" spans="1:5">
      <c r="A7282" s="8" t="str">
        <f t="shared" si="128"/>
        <v>250032</v>
      </c>
      <c r="B7282" s="8" t="str">
        <f>"2561408012228"</f>
        <v>2561408012228</v>
      </c>
      <c r="C7282" s="8" t="s">
        <v>14</v>
      </c>
      <c r="D7282" s="9">
        <v>51.55</v>
      </c>
      <c r="E7282" s="8">
        <v>200</v>
      </c>
    </row>
    <row r="7283" s="3" customFormat="1" ht="18.75" spans="1:5">
      <c r="A7283" s="8" t="str">
        <f t="shared" si="128"/>
        <v>250032</v>
      </c>
      <c r="B7283" s="8" t="str">
        <f>"2561408012918"</f>
        <v>2561408012918</v>
      </c>
      <c r="C7283" s="8" t="s">
        <v>14</v>
      </c>
      <c r="D7283" s="9">
        <v>51.39</v>
      </c>
      <c r="E7283" s="8">
        <v>201</v>
      </c>
    </row>
    <row r="7284" s="3" customFormat="1" ht="18.75" spans="1:5">
      <c r="A7284" s="8" t="str">
        <f t="shared" si="128"/>
        <v>250032</v>
      </c>
      <c r="B7284" s="8" t="str">
        <f>"2561408012001"</f>
        <v>2561408012001</v>
      </c>
      <c r="C7284" s="8" t="s">
        <v>14</v>
      </c>
      <c r="D7284" s="9">
        <v>51.35</v>
      </c>
      <c r="E7284" s="8">
        <v>202</v>
      </c>
    </row>
    <row r="7285" s="3" customFormat="1" ht="18.75" spans="1:5">
      <c r="A7285" s="8" t="str">
        <f t="shared" si="128"/>
        <v>250032</v>
      </c>
      <c r="B7285" s="8" t="str">
        <f>"2561408012701"</f>
        <v>2561408012701</v>
      </c>
      <c r="C7285" s="8" t="s">
        <v>14</v>
      </c>
      <c r="D7285" s="9">
        <v>51.34</v>
      </c>
      <c r="E7285" s="8">
        <v>203</v>
      </c>
    </row>
    <row r="7286" s="3" customFormat="1" ht="18.75" spans="1:5">
      <c r="A7286" s="8" t="str">
        <f t="shared" si="128"/>
        <v>250032</v>
      </c>
      <c r="B7286" s="8" t="str">
        <f>"2561408012801"</f>
        <v>2561408012801</v>
      </c>
      <c r="C7286" s="8" t="s">
        <v>14</v>
      </c>
      <c r="D7286" s="9">
        <v>51.34</v>
      </c>
      <c r="E7286" s="8">
        <v>203</v>
      </c>
    </row>
    <row r="7287" s="3" customFormat="1" ht="18.75" spans="1:5">
      <c r="A7287" s="8" t="str">
        <f t="shared" si="128"/>
        <v>250032</v>
      </c>
      <c r="B7287" s="8" t="str">
        <f>"2561408011412"</f>
        <v>2561408011412</v>
      </c>
      <c r="C7287" s="8" t="s">
        <v>14</v>
      </c>
      <c r="D7287" s="9">
        <v>51.23</v>
      </c>
      <c r="E7287" s="8">
        <v>205</v>
      </c>
    </row>
    <row r="7288" s="3" customFormat="1" ht="18.75" spans="1:5">
      <c r="A7288" s="8" t="str">
        <f t="shared" si="128"/>
        <v>250032</v>
      </c>
      <c r="B7288" s="8" t="str">
        <f>"2561408011917"</f>
        <v>2561408011917</v>
      </c>
      <c r="C7288" s="8" t="s">
        <v>14</v>
      </c>
      <c r="D7288" s="9">
        <v>51.22</v>
      </c>
      <c r="E7288" s="8">
        <v>206</v>
      </c>
    </row>
    <row r="7289" s="3" customFormat="1" ht="18.75" spans="1:5">
      <c r="A7289" s="8" t="str">
        <f t="shared" si="128"/>
        <v>250032</v>
      </c>
      <c r="B7289" s="8" t="str">
        <f>"2561408011721"</f>
        <v>2561408011721</v>
      </c>
      <c r="C7289" s="8" t="s">
        <v>14</v>
      </c>
      <c r="D7289" s="9">
        <v>50.97</v>
      </c>
      <c r="E7289" s="8">
        <v>207</v>
      </c>
    </row>
    <row r="7290" s="3" customFormat="1" ht="18.75" spans="1:5">
      <c r="A7290" s="8" t="str">
        <f t="shared" si="128"/>
        <v>250032</v>
      </c>
      <c r="B7290" s="8" t="str">
        <f>"2561408011423"</f>
        <v>2561408011423</v>
      </c>
      <c r="C7290" s="8" t="s">
        <v>14</v>
      </c>
      <c r="D7290" s="9">
        <v>50.93</v>
      </c>
      <c r="E7290" s="8">
        <v>208</v>
      </c>
    </row>
    <row r="7291" s="3" customFormat="1" ht="18.75" spans="1:5">
      <c r="A7291" s="8" t="str">
        <f t="shared" si="128"/>
        <v>250032</v>
      </c>
      <c r="B7291" s="8" t="str">
        <f>"2561408012403"</f>
        <v>2561408012403</v>
      </c>
      <c r="C7291" s="8" t="s">
        <v>14</v>
      </c>
      <c r="D7291" s="9">
        <v>50.87</v>
      </c>
      <c r="E7291" s="8">
        <v>209</v>
      </c>
    </row>
    <row r="7292" s="3" customFormat="1" ht="18.75" spans="1:5">
      <c r="A7292" s="8" t="str">
        <f t="shared" si="128"/>
        <v>250032</v>
      </c>
      <c r="B7292" s="8" t="str">
        <f>"2561408012323"</f>
        <v>2561408012323</v>
      </c>
      <c r="C7292" s="8" t="s">
        <v>14</v>
      </c>
      <c r="D7292" s="9">
        <v>50.8</v>
      </c>
      <c r="E7292" s="8">
        <v>210</v>
      </c>
    </row>
    <row r="7293" s="3" customFormat="1" ht="18.75" spans="1:5">
      <c r="A7293" s="8" t="str">
        <f t="shared" si="128"/>
        <v>250032</v>
      </c>
      <c r="B7293" s="8" t="str">
        <f>"2561408012816"</f>
        <v>2561408012816</v>
      </c>
      <c r="C7293" s="8" t="s">
        <v>14</v>
      </c>
      <c r="D7293" s="9">
        <v>50.73</v>
      </c>
      <c r="E7293" s="8">
        <v>211</v>
      </c>
    </row>
    <row r="7294" s="3" customFormat="1" ht="18.75" spans="1:5">
      <c r="A7294" s="8" t="str">
        <f t="shared" si="128"/>
        <v>250032</v>
      </c>
      <c r="B7294" s="8" t="str">
        <f>"2561408011521"</f>
        <v>2561408011521</v>
      </c>
      <c r="C7294" s="8" t="s">
        <v>14</v>
      </c>
      <c r="D7294" s="9">
        <v>50.64</v>
      </c>
      <c r="E7294" s="8">
        <v>212</v>
      </c>
    </row>
    <row r="7295" s="3" customFormat="1" ht="18.75" spans="1:5">
      <c r="A7295" s="8" t="str">
        <f t="shared" si="128"/>
        <v>250032</v>
      </c>
      <c r="B7295" s="8" t="str">
        <f>"2561408012321"</f>
        <v>2561408012321</v>
      </c>
      <c r="C7295" s="8" t="s">
        <v>14</v>
      </c>
      <c r="D7295" s="9">
        <v>50.58</v>
      </c>
      <c r="E7295" s="8">
        <v>213</v>
      </c>
    </row>
    <row r="7296" s="3" customFormat="1" ht="18.75" spans="1:5">
      <c r="A7296" s="8" t="str">
        <f t="shared" si="128"/>
        <v>250032</v>
      </c>
      <c r="B7296" s="8" t="str">
        <f>"2561408011622"</f>
        <v>2561408011622</v>
      </c>
      <c r="C7296" s="8" t="s">
        <v>14</v>
      </c>
      <c r="D7296" s="9">
        <v>50.55</v>
      </c>
      <c r="E7296" s="8">
        <v>214</v>
      </c>
    </row>
    <row r="7297" s="3" customFormat="1" ht="18.75" spans="1:5">
      <c r="A7297" s="8" t="str">
        <f t="shared" si="128"/>
        <v>250032</v>
      </c>
      <c r="B7297" s="8" t="str">
        <f>"2561408013022"</f>
        <v>2561408013022</v>
      </c>
      <c r="C7297" s="8" t="s">
        <v>14</v>
      </c>
      <c r="D7297" s="9">
        <v>50.49</v>
      </c>
      <c r="E7297" s="8">
        <v>215</v>
      </c>
    </row>
    <row r="7298" s="3" customFormat="1" ht="18.75" spans="1:5">
      <c r="A7298" s="8" t="str">
        <f t="shared" si="128"/>
        <v>250032</v>
      </c>
      <c r="B7298" s="8" t="str">
        <f>"2561408012616"</f>
        <v>2561408012616</v>
      </c>
      <c r="C7298" s="8" t="s">
        <v>14</v>
      </c>
      <c r="D7298" s="9">
        <v>50.46</v>
      </c>
      <c r="E7298" s="8">
        <v>216</v>
      </c>
    </row>
    <row r="7299" s="3" customFormat="1" ht="18.75" spans="1:5">
      <c r="A7299" s="8" t="str">
        <f t="shared" si="128"/>
        <v>250032</v>
      </c>
      <c r="B7299" s="8" t="str">
        <f>"2561408012727"</f>
        <v>2561408012727</v>
      </c>
      <c r="C7299" s="8" t="s">
        <v>14</v>
      </c>
      <c r="D7299" s="9">
        <v>50.29</v>
      </c>
      <c r="E7299" s="8">
        <v>217</v>
      </c>
    </row>
    <row r="7300" s="3" customFormat="1" ht="18.75" spans="1:5">
      <c r="A7300" s="8" t="str">
        <f t="shared" si="128"/>
        <v>250032</v>
      </c>
      <c r="B7300" s="8" t="str">
        <f>"2561408012723"</f>
        <v>2561408012723</v>
      </c>
      <c r="C7300" s="8" t="s">
        <v>14</v>
      </c>
      <c r="D7300" s="9">
        <v>50.15</v>
      </c>
      <c r="E7300" s="8">
        <v>218</v>
      </c>
    </row>
    <row r="7301" s="3" customFormat="1" ht="18.75" spans="1:5">
      <c r="A7301" s="8" t="str">
        <f t="shared" si="128"/>
        <v>250032</v>
      </c>
      <c r="B7301" s="8" t="str">
        <f>"2561408012703"</f>
        <v>2561408012703</v>
      </c>
      <c r="C7301" s="8" t="s">
        <v>14</v>
      </c>
      <c r="D7301" s="9">
        <v>50.12</v>
      </c>
      <c r="E7301" s="8">
        <v>219</v>
      </c>
    </row>
    <row r="7302" s="3" customFormat="1" ht="18.75" spans="1:5">
      <c r="A7302" s="8" t="str">
        <f t="shared" si="128"/>
        <v>250032</v>
      </c>
      <c r="B7302" s="8" t="str">
        <f>"2561408012527"</f>
        <v>2561408012527</v>
      </c>
      <c r="C7302" s="8" t="s">
        <v>14</v>
      </c>
      <c r="D7302" s="9">
        <v>50.07</v>
      </c>
      <c r="E7302" s="8">
        <v>220</v>
      </c>
    </row>
    <row r="7303" s="3" customFormat="1" ht="18.75" spans="1:5">
      <c r="A7303" s="8" t="str">
        <f t="shared" si="128"/>
        <v>250032</v>
      </c>
      <c r="B7303" s="8" t="str">
        <f>"2561408012121"</f>
        <v>2561408012121</v>
      </c>
      <c r="C7303" s="8" t="s">
        <v>14</v>
      </c>
      <c r="D7303" s="9">
        <v>50.02</v>
      </c>
      <c r="E7303" s="8">
        <v>221</v>
      </c>
    </row>
    <row r="7304" s="3" customFormat="1" ht="18.75" spans="1:5">
      <c r="A7304" s="8" t="str">
        <f t="shared" si="128"/>
        <v>250032</v>
      </c>
      <c r="B7304" s="8" t="str">
        <f>"2561408012612"</f>
        <v>2561408012612</v>
      </c>
      <c r="C7304" s="8" t="s">
        <v>14</v>
      </c>
      <c r="D7304" s="9">
        <v>49.93</v>
      </c>
      <c r="E7304" s="8">
        <v>222</v>
      </c>
    </row>
    <row r="7305" s="3" customFormat="1" ht="18.75" spans="1:5">
      <c r="A7305" s="8" t="str">
        <f t="shared" si="128"/>
        <v>250032</v>
      </c>
      <c r="B7305" s="8" t="str">
        <f>"2561408012811"</f>
        <v>2561408012811</v>
      </c>
      <c r="C7305" s="8" t="s">
        <v>14</v>
      </c>
      <c r="D7305" s="9">
        <v>49.89</v>
      </c>
      <c r="E7305" s="8">
        <v>223</v>
      </c>
    </row>
    <row r="7306" s="3" customFormat="1" ht="18.75" spans="1:5">
      <c r="A7306" s="8" t="str">
        <f t="shared" si="128"/>
        <v>250032</v>
      </c>
      <c r="B7306" s="8" t="str">
        <f>"2561408011416"</f>
        <v>2561408011416</v>
      </c>
      <c r="C7306" s="8" t="s">
        <v>14</v>
      </c>
      <c r="D7306" s="9">
        <v>49.63</v>
      </c>
      <c r="E7306" s="8">
        <v>224</v>
      </c>
    </row>
    <row r="7307" s="3" customFormat="1" ht="18.75" spans="1:5">
      <c r="A7307" s="8" t="str">
        <f t="shared" si="128"/>
        <v>250032</v>
      </c>
      <c r="B7307" s="8" t="str">
        <f>"2561408012702"</f>
        <v>2561408012702</v>
      </c>
      <c r="C7307" s="8" t="s">
        <v>14</v>
      </c>
      <c r="D7307" s="9">
        <v>49.63</v>
      </c>
      <c r="E7307" s="8">
        <v>224</v>
      </c>
    </row>
    <row r="7308" s="3" customFormat="1" ht="18.75" spans="1:5">
      <c r="A7308" s="8" t="str">
        <f t="shared" si="128"/>
        <v>250032</v>
      </c>
      <c r="B7308" s="8" t="str">
        <f>"2561408011929"</f>
        <v>2561408011929</v>
      </c>
      <c r="C7308" s="8" t="s">
        <v>14</v>
      </c>
      <c r="D7308" s="9">
        <v>49.62</v>
      </c>
      <c r="E7308" s="8">
        <v>226</v>
      </c>
    </row>
    <row r="7309" s="3" customFormat="1" ht="18.75" spans="1:5">
      <c r="A7309" s="8" t="str">
        <f t="shared" si="128"/>
        <v>250032</v>
      </c>
      <c r="B7309" s="8" t="str">
        <f>"2561408012419"</f>
        <v>2561408012419</v>
      </c>
      <c r="C7309" s="8" t="s">
        <v>14</v>
      </c>
      <c r="D7309" s="9">
        <v>49.51</v>
      </c>
      <c r="E7309" s="8">
        <v>227</v>
      </c>
    </row>
    <row r="7310" s="3" customFormat="1" ht="18.75" spans="1:5">
      <c r="A7310" s="8" t="str">
        <f t="shared" si="128"/>
        <v>250032</v>
      </c>
      <c r="B7310" s="8" t="str">
        <f>"2561408012216"</f>
        <v>2561408012216</v>
      </c>
      <c r="C7310" s="8" t="s">
        <v>14</v>
      </c>
      <c r="D7310" s="9">
        <v>49.5</v>
      </c>
      <c r="E7310" s="8">
        <v>228</v>
      </c>
    </row>
    <row r="7311" s="3" customFormat="1" ht="18.75" spans="1:5">
      <c r="A7311" s="8" t="str">
        <f t="shared" si="128"/>
        <v>250032</v>
      </c>
      <c r="B7311" s="8" t="str">
        <f>"2561408011725"</f>
        <v>2561408011725</v>
      </c>
      <c r="C7311" s="8" t="s">
        <v>14</v>
      </c>
      <c r="D7311" s="9">
        <v>49.49</v>
      </c>
      <c r="E7311" s="8">
        <v>229</v>
      </c>
    </row>
    <row r="7312" s="3" customFormat="1" ht="18.75" spans="1:5">
      <c r="A7312" s="8" t="str">
        <f t="shared" si="128"/>
        <v>250032</v>
      </c>
      <c r="B7312" s="8" t="str">
        <f>"2561408011417"</f>
        <v>2561408011417</v>
      </c>
      <c r="C7312" s="8" t="s">
        <v>14</v>
      </c>
      <c r="D7312" s="9">
        <v>49.15</v>
      </c>
      <c r="E7312" s="8">
        <v>230</v>
      </c>
    </row>
    <row r="7313" s="3" customFormat="1" ht="18.75" spans="1:5">
      <c r="A7313" s="8" t="str">
        <f t="shared" si="128"/>
        <v>250032</v>
      </c>
      <c r="B7313" s="8" t="str">
        <f>"2561408012423"</f>
        <v>2561408012423</v>
      </c>
      <c r="C7313" s="8" t="s">
        <v>14</v>
      </c>
      <c r="D7313" s="9">
        <v>49.07</v>
      </c>
      <c r="E7313" s="8">
        <v>231</v>
      </c>
    </row>
    <row r="7314" s="3" customFormat="1" ht="18.75" spans="1:5">
      <c r="A7314" s="8" t="str">
        <f t="shared" si="128"/>
        <v>250032</v>
      </c>
      <c r="B7314" s="8" t="str">
        <f>"2561408011609"</f>
        <v>2561408011609</v>
      </c>
      <c r="C7314" s="8" t="s">
        <v>14</v>
      </c>
      <c r="D7314" s="9">
        <v>48.95</v>
      </c>
      <c r="E7314" s="8">
        <v>232</v>
      </c>
    </row>
    <row r="7315" s="3" customFormat="1" ht="18.75" spans="1:5">
      <c r="A7315" s="8" t="str">
        <f t="shared" si="128"/>
        <v>250032</v>
      </c>
      <c r="B7315" s="8" t="str">
        <f>"2561408011701"</f>
        <v>2561408011701</v>
      </c>
      <c r="C7315" s="8" t="s">
        <v>14</v>
      </c>
      <c r="D7315" s="9">
        <v>48.88</v>
      </c>
      <c r="E7315" s="8">
        <v>233</v>
      </c>
    </row>
    <row r="7316" s="3" customFormat="1" ht="18.75" spans="1:5">
      <c r="A7316" s="8" t="str">
        <f t="shared" si="128"/>
        <v>250032</v>
      </c>
      <c r="B7316" s="8" t="str">
        <f>"2561408012609"</f>
        <v>2561408012609</v>
      </c>
      <c r="C7316" s="8" t="s">
        <v>14</v>
      </c>
      <c r="D7316" s="9">
        <v>48.84</v>
      </c>
      <c r="E7316" s="8">
        <v>234</v>
      </c>
    </row>
    <row r="7317" s="3" customFormat="1" ht="18.75" spans="1:5">
      <c r="A7317" s="8" t="str">
        <f t="shared" si="128"/>
        <v>250032</v>
      </c>
      <c r="B7317" s="8" t="str">
        <f>"2561408012909"</f>
        <v>2561408012909</v>
      </c>
      <c r="C7317" s="8" t="s">
        <v>14</v>
      </c>
      <c r="D7317" s="9">
        <v>48.81</v>
      </c>
      <c r="E7317" s="8">
        <v>235</v>
      </c>
    </row>
    <row r="7318" s="3" customFormat="1" ht="18.75" spans="1:5">
      <c r="A7318" s="8" t="str">
        <f t="shared" si="128"/>
        <v>250032</v>
      </c>
      <c r="B7318" s="8" t="str">
        <f>"2561408012510"</f>
        <v>2561408012510</v>
      </c>
      <c r="C7318" s="8" t="s">
        <v>14</v>
      </c>
      <c r="D7318" s="9">
        <v>48.8</v>
      </c>
      <c r="E7318" s="8">
        <v>236</v>
      </c>
    </row>
    <row r="7319" s="3" customFormat="1" ht="18.75" spans="1:5">
      <c r="A7319" s="8" t="str">
        <f t="shared" si="128"/>
        <v>250032</v>
      </c>
      <c r="B7319" s="8" t="str">
        <f>"2561408012508"</f>
        <v>2561408012508</v>
      </c>
      <c r="C7319" s="8" t="s">
        <v>14</v>
      </c>
      <c r="D7319" s="9">
        <v>48.61</v>
      </c>
      <c r="E7319" s="8">
        <v>237</v>
      </c>
    </row>
    <row r="7320" s="3" customFormat="1" ht="18.75" spans="1:5">
      <c r="A7320" s="8" t="str">
        <f t="shared" si="128"/>
        <v>250032</v>
      </c>
      <c r="B7320" s="8" t="str">
        <f>"2561408012730"</f>
        <v>2561408012730</v>
      </c>
      <c r="C7320" s="8" t="s">
        <v>14</v>
      </c>
      <c r="D7320" s="9">
        <v>48.58</v>
      </c>
      <c r="E7320" s="8">
        <v>238</v>
      </c>
    </row>
    <row r="7321" s="3" customFormat="1" ht="18.75" spans="1:5">
      <c r="A7321" s="8" t="str">
        <f t="shared" si="128"/>
        <v>250032</v>
      </c>
      <c r="B7321" s="8" t="str">
        <f>"2561408012322"</f>
        <v>2561408012322</v>
      </c>
      <c r="C7321" s="8" t="s">
        <v>14</v>
      </c>
      <c r="D7321" s="9">
        <v>48.41</v>
      </c>
      <c r="E7321" s="8">
        <v>239</v>
      </c>
    </row>
    <row r="7322" s="3" customFormat="1" ht="18.75" spans="1:5">
      <c r="A7322" s="8" t="str">
        <f t="shared" si="128"/>
        <v>250032</v>
      </c>
      <c r="B7322" s="8" t="str">
        <f>"2561408012025"</f>
        <v>2561408012025</v>
      </c>
      <c r="C7322" s="8" t="s">
        <v>14</v>
      </c>
      <c r="D7322" s="9">
        <v>48.27</v>
      </c>
      <c r="E7322" s="8">
        <v>240</v>
      </c>
    </row>
    <row r="7323" s="3" customFormat="1" ht="18.75" spans="1:5">
      <c r="A7323" s="8" t="str">
        <f t="shared" si="128"/>
        <v>250032</v>
      </c>
      <c r="B7323" s="8" t="str">
        <f>"2561408012427"</f>
        <v>2561408012427</v>
      </c>
      <c r="C7323" s="8" t="s">
        <v>14</v>
      </c>
      <c r="D7323" s="9">
        <v>48.27</v>
      </c>
      <c r="E7323" s="8">
        <v>240</v>
      </c>
    </row>
    <row r="7324" s="3" customFormat="1" ht="18.75" spans="1:5">
      <c r="A7324" s="8" t="str">
        <f t="shared" si="128"/>
        <v>250032</v>
      </c>
      <c r="B7324" s="8" t="str">
        <f>"2561408012207"</f>
        <v>2561408012207</v>
      </c>
      <c r="C7324" s="8" t="s">
        <v>14</v>
      </c>
      <c r="D7324" s="9">
        <v>48.25</v>
      </c>
      <c r="E7324" s="8">
        <v>242</v>
      </c>
    </row>
    <row r="7325" s="3" customFormat="1" ht="18.75" spans="1:5">
      <c r="A7325" s="8" t="str">
        <f t="shared" si="128"/>
        <v>250032</v>
      </c>
      <c r="B7325" s="8" t="str">
        <f>"2561408012526"</f>
        <v>2561408012526</v>
      </c>
      <c r="C7325" s="8" t="s">
        <v>14</v>
      </c>
      <c r="D7325" s="9">
        <v>48.19</v>
      </c>
      <c r="E7325" s="8">
        <v>243</v>
      </c>
    </row>
    <row r="7326" s="3" customFormat="1" ht="18.75" spans="1:5">
      <c r="A7326" s="8" t="str">
        <f t="shared" si="128"/>
        <v>250032</v>
      </c>
      <c r="B7326" s="8" t="str">
        <f>"2561408011805"</f>
        <v>2561408011805</v>
      </c>
      <c r="C7326" s="8" t="s">
        <v>14</v>
      </c>
      <c r="D7326" s="9">
        <v>48.07</v>
      </c>
      <c r="E7326" s="8">
        <v>244</v>
      </c>
    </row>
    <row r="7327" s="3" customFormat="1" ht="18.75" spans="1:5">
      <c r="A7327" s="8" t="str">
        <f t="shared" si="128"/>
        <v>250032</v>
      </c>
      <c r="B7327" s="8" t="str">
        <f>"2561408011404"</f>
        <v>2561408011404</v>
      </c>
      <c r="C7327" s="8" t="s">
        <v>14</v>
      </c>
      <c r="D7327" s="9">
        <v>47.95</v>
      </c>
      <c r="E7327" s="8">
        <v>245</v>
      </c>
    </row>
    <row r="7328" s="3" customFormat="1" ht="18.75" spans="1:5">
      <c r="A7328" s="8" t="str">
        <f t="shared" si="128"/>
        <v>250032</v>
      </c>
      <c r="B7328" s="8" t="str">
        <f>"2561408012819"</f>
        <v>2561408012819</v>
      </c>
      <c r="C7328" s="8" t="s">
        <v>14</v>
      </c>
      <c r="D7328" s="9">
        <v>47.86</v>
      </c>
      <c r="E7328" s="8">
        <v>246</v>
      </c>
    </row>
    <row r="7329" s="3" customFormat="1" ht="18.75" spans="1:5">
      <c r="A7329" s="8" t="str">
        <f t="shared" si="128"/>
        <v>250032</v>
      </c>
      <c r="B7329" s="8" t="str">
        <f>"2561408012416"</f>
        <v>2561408012416</v>
      </c>
      <c r="C7329" s="8" t="s">
        <v>14</v>
      </c>
      <c r="D7329" s="9">
        <v>47.7</v>
      </c>
      <c r="E7329" s="8">
        <v>247</v>
      </c>
    </row>
    <row r="7330" s="3" customFormat="1" ht="18.75" spans="1:5">
      <c r="A7330" s="8" t="str">
        <f t="shared" si="128"/>
        <v>250032</v>
      </c>
      <c r="B7330" s="8" t="str">
        <f>"2561408012029"</f>
        <v>2561408012029</v>
      </c>
      <c r="C7330" s="8" t="s">
        <v>14</v>
      </c>
      <c r="D7330" s="9">
        <v>47.5</v>
      </c>
      <c r="E7330" s="8">
        <v>248</v>
      </c>
    </row>
    <row r="7331" s="3" customFormat="1" ht="18.75" spans="1:5">
      <c r="A7331" s="8" t="str">
        <f t="shared" si="128"/>
        <v>250032</v>
      </c>
      <c r="B7331" s="8" t="str">
        <f>"2561408012429"</f>
        <v>2561408012429</v>
      </c>
      <c r="C7331" s="8" t="s">
        <v>14</v>
      </c>
      <c r="D7331" s="9">
        <v>47.34</v>
      </c>
      <c r="E7331" s="8">
        <v>249</v>
      </c>
    </row>
    <row r="7332" s="3" customFormat="1" ht="18.75" spans="1:5">
      <c r="A7332" s="8" t="str">
        <f t="shared" si="128"/>
        <v>250032</v>
      </c>
      <c r="B7332" s="8" t="str">
        <f>"2561408012605"</f>
        <v>2561408012605</v>
      </c>
      <c r="C7332" s="8" t="s">
        <v>14</v>
      </c>
      <c r="D7332" s="9">
        <v>47.26</v>
      </c>
      <c r="E7332" s="8">
        <v>250</v>
      </c>
    </row>
    <row r="7333" s="3" customFormat="1" ht="18.75" spans="1:5">
      <c r="A7333" s="8" t="str">
        <f t="shared" si="128"/>
        <v>250032</v>
      </c>
      <c r="B7333" s="8" t="str">
        <f>"2561408012622"</f>
        <v>2561408012622</v>
      </c>
      <c r="C7333" s="8" t="s">
        <v>14</v>
      </c>
      <c r="D7333" s="9">
        <v>47.26</v>
      </c>
      <c r="E7333" s="8">
        <v>250</v>
      </c>
    </row>
    <row r="7334" s="3" customFormat="1" ht="18.75" spans="1:5">
      <c r="A7334" s="8" t="str">
        <f t="shared" si="128"/>
        <v>250032</v>
      </c>
      <c r="B7334" s="8" t="str">
        <f>"2561408011428"</f>
        <v>2561408011428</v>
      </c>
      <c r="C7334" s="8" t="s">
        <v>14</v>
      </c>
      <c r="D7334" s="9">
        <v>47.21</v>
      </c>
      <c r="E7334" s="8">
        <v>252</v>
      </c>
    </row>
    <row r="7335" s="3" customFormat="1" ht="18.75" spans="1:5">
      <c r="A7335" s="8" t="str">
        <f t="shared" si="128"/>
        <v>250032</v>
      </c>
      <c r="B7335" s="8" t="str">
        <f>"2561408011829"</f>
        <v>2561408011829</v>
      </c>
      <c r="C7335" s="8" t="s">
        <v>14</v>
      </c>
      <c r="D7335" s="9">
        <v>47.05</v>
      </c>
      <c r="E7335" s="8">
        <v>253</v>
      </c>
    </row>
    <row r="7336" s="3" customFormat="1" ht="18.75" spans="1:5">
      <c r="A7336" s="8" t="str">
        <f t="shared" si="128"/>
        <v>250032</v>
      </c>
      <c r="B7336" s="8" t="str">
        <f>"2561408012921"</f>
        <v>2561408012921</v>
      </c>
      <c r="C7336" s="8" t="s">
        <v>14</v>
      </c>
      <c r="D7336" s="9">
        <v>47.03</v>
      </c>
      <c r="E7336" s="8">
        <v>254</v>
      </c>
    </row>
    <row r="7337" s="3" customFormat="1" ht="18.75" spans="1:5">
      <c r="A7337" s="8" t="str">
        <f t="shared" si="128"/>
        <v>250032</v>
      </c>
      <c r="B7337" s="8" t="str">
        <f>"2561408011429"</f>
        <v>2561408011429</v>
      </c>
      <c r="C7337" s="8" t="s">
        <v>14</v>
      </c>
      <c r="D7337" s="9">
        <v>46.94</v>
      </c>
      <c r="E7337" s="8">
        <v>255</v>
      </c>
    </row>
    <row r="7338" s="3" customFormat="1" ht="18.75" spans="1:5">
      <c r="A7338" s="8" t="str">
        <f t="shared" si="128"/>
        <v>250032</v>
      </c>
      <c r="B7338" s="8" t="str">
        <f>"2561408012101"</f>
        <v>2561408012101</v>
      </c>
      <c r="C7338" s="8" t="s">
        <v>14</v>
      </c>
      <c r="D7338" s="9">
        <v>46.86</v>
      </c>
      <c r="E7338" s="8">
        <v>256</v>
      </c>
    </row>
    <row r="7339" s="3" customFormat="1" ht="18.75" spans="1:5">
      <c r="A7339" s="8" t="str">
        <f t="shared" ref="A7339:A7402" si="129">"250032"</f>
        <v>250032</v>
      </c>
      <c r="B7339" s="8" t="str">
        <f>"2561408011810"</f>
        <v>2561408011810</v>
      </c>
      <c r="C7339" s="8" t="s">
        <v>14</v>
      </c>
      <c r="D7339" s="9">
        <v>46.78</v>
      </c>
      <c r="E7339" s="8">
        <v>257</v>
      </c>
    </row>
    <row r="7340" s="3" customFormat="1" ht="18.75" spans="1:5">
      <c r="A7340" s="8" t="str">
        <f t="shared" si="129"/>
        <v>250032</v>
      </c>
      <c r="B7340" s="8" t="str">
        <f>"2561408012023"</f>
        <v>2561408012023</v>
      </c>
      <c r="C7340" s="8" t="s">
        <v>14</v>
      </c>
      <c r="D7340" s="9">
        <v>46.73</v>
      </c>
      <c r="E7340" s="8">
        <v>258</v>
      </c>
    </row>
    <row r="7341" s="3" customFormat="1" ht="18.75" spans="1:5">
      <c r="A7341" s="8" t="str">
        <f t="shared" si="129"/>
        <v>250032</v>
      </c>
      <c r="B7341" s="8" t="str">
        <f>"2561408012226"</f>
        <v>2561408012226</v>
      </c>
      <c r="C7341" s="8" t="s">
        <v>14</v>
      </c>
      <c r="D7341" s="9">
        <v>46.63</v>
      </c>
      <c r="E7341" s="8">
        <v>259</v>
      </c>
    </row>
    <row r="7342" s="3" customFormat="1" ht="18.75" spans="1:5">
      <c r="A7342" s="8" t="str">
        <f t="shared" si="129"/>
        <v>250032</v>
      </c>
      <c r="B7342" s="8" t="str">
        <f>"2561408011914"</f>
        <v>2561408011914</v>
      </c>
      <c r="C7342" s="8" t="s">
        <v>14</v>
      </c>
      <c r="D7342" s="9">
        <v>46.24</v>
      </c>
      <c r="E7342" s="8">
        <v>260</v>
      </c>
    </row>
    <row r="7343" s="3" customFormat="1" ht="18.75" spans="1:5">
      <c r="A7343" s="8" t="str">
        <f t="shared" si="129"/>
        <v>250032</v>
      </c>
      <c r="B7343" s="8" t="str">
        <f>"2561408011713"</f>
        <v>2561408011713</v>
      </c>
      <c r="C7343" s="8" t="s">
        <v>14</v>
      </c>
      <c r="D7343" s="9">
        <v>46.23</v>
      </c>
      <c r="E7343" s="8">
        <v>261</v>
      </c>
    </row>
    <row r="7344" s="3" customFormat="1" ht="18.75" spans="1:5">
      <c r="A7344" s="8" t="str">
        <f t="shared" si="129"/>
        <v>250032</v>
      </c>
      <c r="B7344" s="8" t="str">
        <f>"2561408012722"</f>
        <v>2561408012722</v>
      </c>
      <c r="C7344" s="8" t="s">
        <v>14</v>
      </c>
      <c r="D7344" s="9">
        <v>46.02</v>
      </c>
      <c r="E7344" s="8">
        <v>262</v>
      </c>
    </row>
    <row r="7345" s="3" customFormat="1" ht="18.75" spans="1:5">
      <c r="A7345" s="8" t="str">
        <f t="shared" si="129"/>
        <v>250032</v>
      </c>
      <c r="B7345" s="8" t="str">
        <f>"2561408012810"</f>
        <v>2561408012810</v>
      </c>
      <c r="C7345" s="8" t="s">
        <v>14</v>
      </c>
      <c r="D7345" s="9">
        <v>45.61</v>
      </c>
      <c r="E7345" s="8">
        <v>263</v>
      </c>
    </row>
    <row r="7346" s="3" customFormat="1" ht="18.75" spans="1:5">
      <c r="A7346" s="8" t="str">
        <f t="shared" si="129"/>
        <v>250032</v>
      </c>
      <c r="B7346" s="8" t="str">
        <f>"2561408011405"</f>
        <v>2561408011405</v>
      </c>
      <c r="C7346" s="8" t="s">
        <v>14</v>
      </c>
      <c r="D7346" s="9">
        <v>45.56</v>
      </c>
      <c r="E7346" s="8">
        <v>264</v>
      </c>
    </row>
    <row r="7347" s="3" customFormat="1" ht="18.75" spans="1:5">
      <c r="A7347" s="8" t="str">
        <f t="shared" si="129"/>
        <v>250032</v>
      </c>
      <c r="B7347" s="8" t="str">
        <f>"2561408012905"</f>
        <v>2561408012905</v>
      </c>
      <c r="C7347" s="8" t="s">
        <v>14</v>
      </c>
      <c r="D7347" s="9">
        <v>45.45</v>
      </c>
      <c r="E7347" s="8">
        <v>265</v>
      </c>
    </row>
    <row r="7348" s="3" customFormat="1" ht="18.75" spans="1:5">
      <c r="A7348" s="8" t="str">
        <f t="shared" si="129"/>
        <v>250032</v>
      </c>
      <c r="B7348" s="8" t="str">
        <f>"2561408011508"</f>
        <v>2561408011508</v>
      </c>
      <c r="C7348" s="8" t="s">
        <v>14</v>
      </c>
      <c r="D7348" s="9">
        <v>45.02</v>
      </c>
      <c r="E7348" s="8">
        <v>266</v>
      </c>
    </row>
    <row r="7349" s="3" customFormat="1" ht="18.75" spans="1:5">
      <c r="A7349" s="8" t="str">
        <f t="shared" si="129"/>
        <v>250032</v>
      </c>
      <c r="B7349" s="8" t="str">
        <f>"2561408012711"</f>
        <v>2561408012711</v>
      </c>
      <c r="C7349" s="8" t="s">
        <v>14</v>
      </c>
      <c r="D7349" s="9">
        <v>44.54</v>
      </c>
      <c r="E7349" s="8">
        <v>267</v>
      </c>
    </row>
    <row r="7350" s="3" customFormat="1" ht="18.75" spans="1:5">
      <c r="A7350" s="8" t="str">
        <f t="shared" si="129"/>
        <v>250032</v>
      </c>
      <c r="B7350" s="8" t="str">
        <f>"2561408013020"</f>
        <v>2561408013020</v>
      </c>
      <c r="C7350" s="8" t="s">
        <v>14</v>
      </c>
      <c r="D7350" s="9">
        <v>44.54</v>
      </c>
      <c r="E7350" s="8">
        <v>267</v>
      </c>
    </row>
    <row r="7351" s="3" customFormat="1" ht="18.75" spans="1:5">
      <c r="A7351" s="8" t="str">
        <f t="shared" si="129"/>
        <v>250032</v>
      </c>
      <c r="B7351" s="8" t="str">
        <f>"2561408012408"</f>
        <v>2561408012408</v>
      </c>
      <c r="C7351" s="8" t="s">
        <v>14</v>
      </c>
      <c r="D7351" s="9">
        <v>44.51</v>
      </c>
      <c r="E7351" s="8">
        <v>269</v>
      </c>
    </row>
    <row r="7352" s="3" customFormat="1" ht="18.75" spans="1:5">
      <c r="A7352" s="8" t="str">
        <f t="shared" si="129"/>
        <v>250032</v>
      </c>
      <c r="B7352" s="8" t="str">
        <f>"2561408012114"</f>
        <v>2561408012114</v>
      </c>
      <c r="C7352" s="8" t="s">
        <v>14</v>
      </c>
      <c r="D7352" s="9">
        <v>44.42</v>
      </c>
      <c r="E7352" s="8">
        <v>270</v>
      </c>
    </row>
    <row r="7353" s="3" customFormat="1" ht="18.75" spans="1:5">
      <c r="A7353" s="8" t="str">
        <f t="shared" si="129"/>
        <v>250032</v>
      </c>
      <c r="B7353" s="8" t="str">
        <f>"2561408011720"</f>
        <v>2561408011720</v>
      </c>
      <c r="C7353" s="8" t="s">
        <v>14</v>
      </c>
      <c r="D7353" s="9">
        <v>44.31</v>
      </c>
      <c r="E7353" s="8">
        <v>271</v>
      </c>
    </row>
    <row r="7354" s="3" customFormat="1" ht="18.75" spans="1:5">
      <c r="A7354" s="8" t="str">
        <f t="shared" si="129"/>
        <v>250032</v>
      </c>
      <c r="B7354" s="8" t="str">
        <f>"2561408012119"</f>
        <v>2561408012119</v>
      </c>
      <c r="C7354" s="8" t="s">
        <v>14</v>
      </c>
      <c r="D7354" s="9">
        <v>44.23</v>
      </c>
      <c r="E7354" s="8">
        <v>272</v>
      </c>
    </row>
    <row r="7355" s="3" customFormat="1" ht="18.75" spans="1:5">
      <c r="A7355" s="8" t="str">
        <f t="shared" si="129"/>
        <v>250032</v>
      </c>
      <c r="B7355" s="8" t="str">
        <f>"2561408012724"</f>
        <v>2561408012724</v>
      </c>
      <c r="C7355" s="8" t="s">
        <v>14</v>
      </c>
      <c r="D7355" s="9">
        <v>44.15</v>
      </c>
      <c r="E7355" s="8">
        <v>273</v>
      </c>
    </row>
    <row r="7356" s="3" customFormat="1" ht="18.75" spans="1:5">
      <c r="A7356" s="8" t="str">
        <f t="shared" si="129"/>
        <v>250032</v>
      </c>
      <c r="B7356" s="8" t="str">
        <f>"2561408012329"</f>
        <v>2561408012329</v>
      </c>
      <c r="C7356" s="8" t="s">
        <v>14</v>
      </c>
      <c r="D7356" s="9">
        <v>44</v>
      </c>
      <c r="E7356" s="8">
        <v>274</v>
      </c>
    </row>
    <row r="7357" s="3" customFormat="1" ht="18.75" spans="1:5">
      <c r="A7357" s="8" t="str">
        <f t="shared" si="129"/>
        <v>250032</v>
      </c>
      <c r="B7357" s="8" t="str">
        <f>"2561408011722"</f>
        <v>2561408011722</v>
      </c>
      <c r="C7357" s="8" t="s">
        <v>14</v>
      </c>
      <c r="D7357" s="9">
        <v>43.12</v>
      </c>
      <c r="E7357" s="8">
        <v>275</v>
      </c>
    </row>
    <row r="7358" s="3" customFormat="1" ht="18.75" spans="1:5">
      <c r="A7358" s="8" t="str">
        <f t="shared" si="129"/>
        <v>250032</v>
      </c>
      <c r="B7358" s="8" t="str">
        <f>"2561408012012"</f>
        <v>2561408012012</v>
      </c>
      <c r="C7358" s="8" t="s">
        <v>14</v>
      </c>
      <c r="D7358" s="9">
        <v>42.67</v>
      </c>
      <c r="E7358" s="8">
        <v>276</v>
      </c>
    </row>
    <row r="7359" s="3" customFormat="1" ht="18.75" spans="1:5">
      <c r="A7359" s="8" t="str">
        <f t="shared" si="129"/>
        <v>250032</v>
      </c>
      <c r="B7359" s="8" t="str">
        <f>"2561408011411"</f>
        <v>2561408011411</v>
      </c>
      <c r="C7359" s="8" t="s">
        <v>14</v>
      </c>
      <c r="D7359" s="9">
        <v>42.64</v>
      </c>
      <c r="E7359" s="8">
        <v>277</v>
      </c>
    </row>
    <row r="7360" s="3" customFormat="1" ht="18.75" spans="1:5">
      <c r="A7360" s="8" t="str">
        <f t="shared" si="129"/>
        <v>250032</v>
      </c>
      <c r="B7360" s="8" t="str">
        <f>"2561408012107"</f>
        <v>2561408012107</v>
      </c>
      <c r="C7360" s="8" t="s">
        <v>14</v>
      </c>
      <c r="D7360" s="9">
        <v>42.5</v>
      </c>
      <c r="E7360" s="8">
        <v>278</v>
      </c>
    </row>
    <row r="7361" s="3" customFormat="1" ht="18.75" spans="1:5">
      <c r="A7361" s="8" t="str">
        <f t="shared" si="129"/>
        <v>250032</v>
      </c>
      <c r="B7361" s="8" t="str">
        <f>"2561408012728"</f>
        <v>2561408012728</v>
      </c>
      <c r="C7361" s="8" t="s">
        <v>14</v>
      </c>
      <c r="D7361" s="9">
        <v>42.32</v>
      </c>
      <c r="E7361" s="8">
        <v>279</v>
      </c>
    </row>
    <row r="7362" s="3" customFormat="1" ht="18.75" spans="1:5">
      <c r="A7362" s="8" t="str">
        <f t="shared" si="129"/>
        <v>250032</v>
      </c>
      <c r="B7362" s="8" t="str">
        <f>"2561408011709"</f>
        <v>2561408011709</v>
      </c>
      <c r="C7362" s="8" t="s">
        <v>14</v>
      </c>
      <c r="D7362" s="9">
        <v>42.12</v>
      </c>
      <c r="E7362" s="8">
        <v>280</v>
      </c>
    </row>
    <row r="7363" s="3" customFormat="1" ht="18.75" spans="1:5">
      <c r="A7363" s="8" t="str">
        <f t="shared" si="129"/>
        <v>250032</v>
      </c>
      <c r="B7363" s="8" t="str">
        <f>"2561408012311"</f>
        <v>2561408012311</v>
      </c>
      <c r="C7363" s="8" t="s">
        <v>14</v>
      </c>
      <c r="D7363" s="9">
        <v>42.07</v>
      </c>
      <c r="E7363" s="8">
        <v>281</v>
      </c>
    </row>
    <row r="7364" s="3" customFormat="1" ht="18.75" spans="1:5">
      <c r="A7364" s="8" t="str">
        <f t="shared" si="129"/>
        <v>250032</v>
      </c>
      <c r="B7364" s="8" t="str">
        <f>"2561408012424"</f>
        <v>2561408012424</v>
      </c>
      <c r="C7364" s="8" t="s">
        <v>14</v>
      </c>
      <c r="D7364" s="9">
        <v>41.78</v>
      </c>
      <c r="E7364" s="8">
        <v>282</v>
      </c>
    </row>
    <row r="7365" s="3" customFormat="1" ht="18.75" spans="1:5">
      <c r="A7365" s="8" t="str">
        <f t="shared" si="129"/>
        <v>250032</v>
      </c>
      <c r="B7365" s="8" t="str">
        <f>"2561408011612"</f>
        <v>2561408011612</v>
      </c>
      <c r="C7365" s="8" t="s">
        <v>14</v>
      </c>
      <c r="D7365" s="9">
        <v>41.45</v>
      </c>
      <c r="E7365" s="8">
        <v>283</v>
      </c>
    </row>
    <row r="7366" s="3" customFormat="1" ht="18.75" spans="1:5">
      <c r="A7366" s="8" t="str">
        <f t="shared" si="129"/>
        <v>250032</v>
      </c>
      <c r="B7366" s="8" t="str">
        <f>"2561408012211"</f>
        <v>2561408012211</v>
      </c>
      <c r="C7366" s="8" t="s">
        <v>14</v>
      </c>
      <c r="D7366" s="9">
        <v>41.2</v>
      </c>
      <c r="E7366" s="8">
        <v>284</v>
      </c>
    </row>
    <row r="7367" s="3" customFormat="1" ht="18.75" spans="1:5">
      <c r="A7367" s="8" t="str">
        <f t="shared" si="129"/>
        <v>250032</v>
      </c>
      <c r="B7367" s="8" t="str">
        <f>"2561408011905"</f>
        <v>2561408011905</v>
      </c>
      <c r="C7367" s="8" t="s">
        <v>14</v>
      </c>
      <c r="D7367" s="9">
        <v>40.35</v>
      </c>
      <c r="E7367" s="8">
        <v>285</v>
      </c>
    </row>
    <row r="7368" s="3" customFormat="1" ht="18.75" spans="1:5">
      <c r="A7368" s="8" t="str">
        <f t="shared" si="129"/>
        <v>250032</v>
      </c>
      <c r="B7368" s="8" t="str">
        <f>"2561408012314"</f>
        <v>2561408012314</v>
      </c>
      <c r="C7368" s="8" t="s">
        <v>14</v>
      </c>
      <c r="D7368" s="9">
        <v>39.69</v>
      </c>
      <c r="E7368" s="8">
        <v>286</v>
      </c>
    </row>
    <row r="7369" s="3" customFormat="1" ht="18.75" spans="1:5">
      <c r="A7369" s="8" t="str">
        <f t="shared" si="129"/>
        <v>250032</v>
      </c>
      <c r="B7369" s="8" t="str">
        <f>"2561408012621"</f>
        <v>2561408012621</v>
      </c>
      <c r="C7369" s="8" t="s">
        <v>14</v>
      </c>
      <c r="D7369" s="9">
        <v>39.18</v>
      </c>
      <c r="E7369" s="8">
        <v>287</v>
      </c>
    </row>
    <row r="7370" s="3" customFormat="1" ht="18.75" spans="1:5">
      <c r="A7370" s="8" t="str">
        <f t="shared" si="129"/>
        <v>250032</v>
      </c>
      <c r="B7370" s="8" t="str">
        <f>"2561408011506"</f>
        <v>2561408011506</v>
      </c>
      <c r="C7370" s="8" t="s">
        <v>14</v>
      </c>
      <c r="D7370" s="9">
        <v>37.69</v>
      </c>
      <c r="E7370" s="8">
        <v>288</v>
      </c>
    </row>
    <row r="7371" s="3" customFormat="1" ht="18.75" spans="1:5">
      <c r="A7371" s="8" t="str">
        <f t="shared" si="129"/>
        <v>250032</v>
      </c>
      <c r="B7371" s="8" t="str">
        <f>"2561408012827"</f>
        <v>2561408012827</v>
      </c>
      <c r="C7371" s="8" t="s">
        <v>14</v>
      </c>
      <c r="D7371" s="9">
        <v>37.45</v>
      </c>
      <c r="E7371" s="8">
        <v>289</v>
      </c>
    </row>
    <row r="7372" s="3" customFormat="1" ht="18.75" spans="1:5">
      <c r="A7372" s="8" t="str">
        <f t="shared" si="129"/>
        <v>250032</v>
      </c>
      <c r="B7372" s="8" t="str">
        <f>"2561408012908"</f>
        <v>2561408012908</v>
      </c>
      <c r="C7372" s="8" t="s">
        <v>14</v>
      </c>
      <c r="D7372" s="9">
        <v>37.04</v>
      </c>
      <c r="E7372" s="8">
        <v>290</v>
      </c>
    </row>
    <row r="7373" s="3" customFormat="1" ht="18.75" spans="1:5">
      <c r="A7373" s="8" t="str">
        <f t="shared" si="129"/>
        <v>250032</v>
      </c>
      <c r="B7373" s="8" t="str">
        <f>"2561408012201"</f>
        <v>2561408012201</v>
      </c>
      <c r="C7373" s="8" t="s">
        <v>14</v>
      </c>
      <c r="D7373" s="9">
        <v>36.83</v>
      </c>
      <c r="E7373" s="8">
        <v>291</v>
      </c>
    </row>
    <row r="7374" s="3" customFormat="1" ht="18.75" spans="1:5">
      <c r="A7374" s="8" t="str">
        <f t="shared" si="129"/>
        <v>250032</v>
      </c>
      <c r="B7374" s="8" t="str">
        <f>"2561408012903"</f>
        <v>2561408012903</v>
      </c>
      <c r="C7374" s="8" t="s">
        <v>14</v>
      </c>
      <c r="D7374" s="9">
        <v>36.78</v>
      </c>
      <c r="E7374" s="8">
        <v>292</v>
      </c>
    </row>
    <row r="7375" s="3" customFormat="1" ht="18.75" spans="1:5">
      <c r="A7375" s="8" t="str">
        <f t="shared" si="129"/>
        <v>250032</v>
      </c>
      <c r="B7375" s="8" t="str">
        <f>"2561408012411"</f>
        <v>2561408012411</v>
      </c>
      <c r="C7375" s="8" t="s">
        <v>14</v>
      </c>
      <c r="D7375" s="9">
        <v>36.68</v>
      </c>
      <c r="E7375" s="8">
        <v>293</v>
      </c>
    </row>
    <row r="7376" s="3" customFormat="1" ht="18.75" spans="1:5">
      <c r="A7376" s="8" t="str">
        <f t="shared" si="129"/>
        <v>250032</v>
      </c>
      <c r="B7376" s="8" t="str">
        <f>"2561408011801"</f>
        <v>2561408011801</v>
      </c>
      <c r="C7376" s="8" t="s">
        <v>14</v>
      </c>
      <c r="D7376" s="9">
        <v>35.69</v>
      </c>
      <c r="E7376" s="8">
        <v>294</v>
      </c>
    </row>
    <row r="7377" s="3" customFormat="1" ht="18.75" spans="1:5">
      <c r="A7377" s="8" t="str">
        <f t="shared" si="129"/>
        <v>250032</v>
      </c>
      <c r="B7377" s="8" t="str">
        <f>"2561408011926"</f>
        <v>2561408011926</v>
      </c>
      <c r="C7377" s="8" t="s">
        <v>14</v>
      </c>
      <c r="D7377" s="9">
        <v>34.89</v>
      </c>
      <c r="E7377" s="8">
        <v>295</v>
      </c>
    </row>
    <row r="7378" s="3" customFormat="1" ht="18.75" spans="1:5">
      <c r="A7378" s="8" t="str">
        <f t="shared" si="129"/>
        <v>250032</v>
      </c>
      <c r="B7378" s="8" t="str">
        <f>"2561408012524"</f>
        <v>2561408012524</v>
      </c>
      <c r="C7378" s="8" t="s">
        <v>14</v>
      </c>
      <c r="D7378" s="9">
        <v>34.88</v>
      </c>
      <c r="E7378" s="8">
        <v>296</v>
      </c>
    </row>
    <row r="7379" s="3" customFormat="1" ht="18.75" spans="1:5">
      <c r="A7379" s="8" t="str">
        <f t="shared" si="129"/>
        <v>250032</v>
      </c>
      <c r="B7379" s="8" t="str">
        <f>"2561408012420"</f>
        <v>2561408012420</v>
      </c>
      <c r="C7379" s="8" t="s">
        <v>14</v>
      </c>
      <c r="D7379" s="9">
        <v>34.51</v>
      </c>
      <c r="E7379" s="8">
        <v>297</v>
      </c>
    </row>
    <row r="7380" s="3" customFormat="1" ht="18.75" spans="1:5">
      <c r="A7380" s="8" t="str">
        <f t="shared" si="129"/>
        <v>250032</v>
      </c>
      <c r="B7380" s="8" t="str">
        <f>"2561408013108"</f>
        <v>2561408013108</v>
      </c>
      <c r="C7380" s="8" t="s">
        <v>14</v>
      </c>
      <c r="D7380" s="9">
        <v>33.57</v>
      </c>
      <c r="E7380" s="8">
        <v>298</v>
      </c>
    </row>
    <row r="7381" s="3" customFormat="1" ht="18.75" spans="1:5">
      <c r="A7381" s="8" t="str">
        <f t="shared" si="129"/>
        <v>250032</v>
      </c>
      <c r="B7381" s="8" t="str">
        <f>"2561408012707"</f>
        <v>2561408012707</v>
      </c>
      <c r="C7381" s="8" t="s">
        <v>14</v>
      </c>
      <c r="D7381" s="9">
        <v>33.36</v>
      </c>
      <c r="E7381" s="8">
        <v>299</v>
      </c>
    </row>
    <row r="7382" s="3" customFormat="1" ht="18.75" spans="1:5">
      <c r="A7382" s="8" t="str">
        <f t="shared" si="129"/>
        <v>250032</v>
      </c>
      <c r="B7382" s="8" t="str">
        <f>"2561408012206"</f>
        <v>2561408012206</v>
      </c>
      <c r="C7382" s="8" t="s">
        <v>14</v>
      </c>
      <c r="D7382" s="9">
        <v>33.07</v>
      </c>
      <c r="E7382" s="8">
        <v>300</v>
      </c>
    </row>
    <row r="7383" s="3" customFormat="1" ht="18.75" spans="1:5">
      <c r="A7383" s="8" t="str">
        <f t="shared" si="129"/>
        <v>250032</v>
      </c>
      <c r="B7383" s="8" t="str">
        <f>"2561408011728"</f>
        <v>2561408011728</v>
      </c>
      <c r="C7383" s="8" t="s">
        <v>14</v>
      </c>
      <c r="D7383" s="9">
        <v>31.39</v>
      </c>
      <c r="E7383" s="8">
        <v>301</v>
      </c>
    </row>
    <row r="7384" s="3" customFormat="1" ht="18.75" spans="1:5">
      <c r="A7384" s="8" t="str">
        <f t="shared" si="129"/>
        <v>250032</v>
      </c>
      <c r="B7384" s="8" t="str">
        <f>"2561408012111"</f>
        <v>2561408012111</v>
      </c>
      <c r="C7384" s="8" t="s">
        <v>14</v>
      </c>
      <c r="D7384" s="9">
        <v>29.06</v>
      </c>
      <c r="E7384" s="8">
        <v>302</v>
      </c>
    </row>
    <row r="7385" s="3" customFormat="1" ht="18.75" spans="1:5">
      <c r="A7385" s="8" t="str">
        <f t="shared" si="129"/>
        <v>250032</v>
      </c>
      <c r="B7385" s="8" t="str">
        <f>"2561408012005"</f>
        <v>2561408012005</v>
      </c>
      <c r="C7385" s="8" t="s">
        <v>14</v>
      </c>
      <c r="D7385" s="9">
        <v>28.74</v>
      </c>
      <c r="E7385" s="8">
        <v>303</v>
      </c>
    </row>
    <row r="7386" s="3" customFormat="1" ht="18.75" spans="1:5">
      <c r="A7386" s="8" t="str">
        <f t="shared" si="129"/>
        <v>250032</v>
      </c>
      <c r="B7386" s="8" t="str">
        <f>"2561408013023"</f>
        <v>2561408013023</v>
      </c>
      <c r="C7386" s="8" t="s">
        <v>14</v>
      </c>
      <c r="D7386" s="9">
        <v>28.5</v>
      </c>
      <c r="E7386" s="8">
        <v>304</v>
      </c>
    </row>
    <row r="7387" s="3" customFormat="1" ht="18.75" spans="1:5">
      <c r="A7387" s="8" t="str">
        <f t="shared" si="129"/>
        <v>250032</v>
      </c>
      <c r="B7387" s="8" t="str">
        <f>"2561408011601"</f>
        <v>2561408011601</v>
      </c>
      <c r="C7387" s="8" t="s">
        <v>14</v>
      </c>
      <c r="D7387" s="9">
        <v>26.52</v>
      </c>
      <c r="E7387" s="8">
        <v>305</v>
      </c>
    </row>
    <row r="7388" s="3" customFormat="1" ht="18.75" spans="1:5">
      <c r="A7388" s="8" t="str">
        <f t="shared" si="129"/>
        <v>250032</v>
      </c>
      <c r="B7388" s="8" t="str">
        <f>"2561408012715"</f>
        <v>2561408012715</v>
      </c>
      <c r="C7388" s="8" t="s">
        <v>14</v>
      </c>
      <c r="D7388" s="9">
        <v>23.71</v>
      </c>
      <c r="E7388" s="8">
        <v>306</v>
      </c>
    </row>
    <row r="7389" s="3" customFormat="1" ht="18.75" spans="1:5">
      <c r="A7389" s="8" t="str">
        <f t="shared" si="129"/>
        <v>250032</v>
      </c>
      <c r="B7389" s="8" t="str">
        <f>"2561408012815"</f>
        <v>2561408012815</v>
      </c>
      <c r="C7389" s="8" t="s">
        <v>14</v>
      </c>
      <c r="D7389" s="9">
        <v>21.24</v>
      </c>
      <c r="E7389" s="8">
        <v>307</v>
      </c>
    </row>
    <row r="7390" s="3" customFormat="1" ht="18.75" spans="1:5">
      <c r="A7390" s="8" t="str">
        <f t="shared" si="129"/>
        <v>250032</v>
      </c>
      <c r="B7390" s="8" t="str">
        <f>"2561408011605"</f>
        <v>2561408011605</v>
      </c>
      <c r="C7390" s="8" t="s">
        <v>14</v>
      </c>
      <c r="D7390" s="9">
        <v>19.82</v>
      </c>
      <c r="E7390" s="8">
        <v>308</v>
      </c>
    </row>
    <row r="7391" s="3" customFormat="1" ht="18.75" spans="1:5">
      <c r="A7391" s="8" t="str">
        <f t="shared" si="129"/>
        <v>250032</v>
      </c>
      <c r="B7391" s="8" t="str">
        <f>"2561408012129"</f>
        <v>2561408012129</v>
      </c>
      <c r="C7391" s="8" t="s">
        <v>14</v>
      </c>
      <c r="D7391" s="9">
        <v>19.14</v>
      </c>
      <c r="E7391" s="8">
        <v>309</v>
      </c>
    </row>
    <row r="7392" s="3" customFormat="1" ht="18.75" spans="1:5">
      <c r="A7392" s="8" t="str">
        <f t="shared" si="129"/>
        <v>250032</v>
      </c>
      <c r="B7392" s="8" t="str">
        <f>"2561408011406"</f>
        <v>2561408011406</v>
      </c>
      <c r="C7392" s="8" t="s">
        <v>14</v>
      </c>
      <c r="D7392" s="9">
        <v>0</v>
      </c>
      <c r="E7392" s="8">
        <v>310</v>
      </c>
    </row>
    <row r="7393" s="3" customFormat="1" ht="18.75" spans="1:5">
      <c r="A7393" s="8" t="str">
        <f t="shared" si="129"/>
        <v>250032</v>
      </c>
      <c r="B7393" s="8" t="str">
        <f>"2561408011413"</f>
        <v>2561408011413</v>
      </c>
      <c r="C7393" s="8" t="s">
        <v>14</v>
      </c>
      <c r="D7393" s="9">
        <v>0</v>
      </c>
      <c r="E7393" s="8">
        <v>310</v>
      </c>
    </row>
    <row r="7394" s="3" customFormat="1" ht="18.75" spans="1:5">
      <c r="A7394" s="8" t="str">
        <f t="shared" si="129"/>
        <v>250032</v>
      </c>
      <c r="B7394" s="8" t="str">
        <f>"2561408011414"</f>
        <v>2561408011414</v>
      </c>
      <c r="C7394" s="8" t="s">
        <v>14</v>
      </c>
      <c r="D7394" s="9">
        <v>0</v>
      </c>
      <c r="E7394" s="8">
        <v>310</v>
      </c>
    </row>
    <row r="7395" s="3" customFormat="1" ht="18.75" spans="1:5">
      <c r="A7395" s="8" t="str">
        <f t="shared" si="129"/>
        <v>250032</v>
      </c>
      <c r="B7395" s="8" t="str">
        <f>"2561408011415"</f>
        <v>2561408011415</v>
      </c>
      <c r="C7395" s="8" t="s">
        <v>14</v>
      </c>
      <c r="D7395" s="9">
        <v>0</v>
      </c>
      <c r="E7395" s="8">
        <v>310</v>
      </c>
    </row>
    <row r="7396" s="3" customFormat="1" ht="18.75" spans="1:5">
      <c r="A7396" s="8" t="str">
        <f t="shared" si="129"/>
        <v>250032</v>
      </c>
      <c r="B7396" s="8" t="str">
        <f>"2561408011418"</f>
        <v>2561408011418</v>
      </c>
      <c r="C7396" s="8" t="s">
        <v>14</v>
      </c>
      <c r="D7396" s="9">
        <v>0</v>
      </c>
      <c r="E7396" s="8">
        <v>310</v>
      </c>
    </row>
    <row r="7397" s="3" customFormat="1" ht="18.75" spans="1:5">
      <c r="A7397" s="8" t="str">
        <f t="shared" si="129"/>
        <v>250032</v>
      </c>
      <c r="B7397" s="8" t="str">
        <f>"2561408011420"</f>
        <v>2561408011420</v>
      </c>
      <c r="C7397" s="8" t="s">
        <v>14</v>
      </c>
      <c r="D7397" s="9">
        <v>0</v>
      </c>
      <c r="E7397" s="8">
        <v>310</v>
      </c>
    </row>
    <row r="7398" s="3" customFormat="1" ht="18.75" spans="1:5">
      <c r="A7398" s="8" t="str">
        <f t="shared" si="129"/>
        <v>250032</v>
      </c>
      <c r="B7398" s="8" t="str">
        <f>"2561408011422"</f>
        <v>2561408011422</v>
      </c>
      <c r="C7398" s="8" t="s">
        <v>14</v>
      </c>
      <c r="D7398" s="9">
        <v>0</v>
      </c>
      <c r="E7398" s="8">
        <v>310</v>
      </c>
    </row>
    <row r="7399" s="3" customFormat="1" ht="18.75" spans="1:5">
      <c r="A7399" s="8" t="str">
        <f t="shared" si="129"/>
        <v>250032</v>
      </c>
      <c r="B7399" s="8" t="str">
        <f>"2561408011424"</f>
        <v>2561408011424</v>
      </c>
      <c r="C7399" s="8" t="s">
        <v>14</v>
      </c>
      <c r="D7399" s="9">
        <v>0</v>
      </c>
      <c r="E7399" s="8">
        <v>310</v>
      </c>
    </row>
    <row r="7400" s="3" customFormat="1" ht="18.75" spans="1:5">
      <c r="A7400" s="8" t="str">
        <f t="shared" si="129"/>
        <v>250032</v>
      </c>
      <c r="B7400" s="8" t="str">
        <f>"2561408011425"</f>
        <v>2561408011425</v>
      </c>
      <c r="C7400" s="8" t="s">
        <v>14</v>
      </c>
      <c r="D7400" s="9">
        <v>0</v>
      </c>
      <c r="E7400" s="8">
        <v>310</v>
      </c>
    </row>
    <row r="7401" s="3" customFormat="1" ht="18.75" spans="1:5">
      <c r="A7401" s="8" t="str">
        <f t="shared" si="129"/>
        <v>250032</v>
      </c>
      <c r="B7401" s="8" t="str">
        <f>"2561408011426"</f>
        <v>2561408011426</v>
      </c>
      <c r="C7401" s="8" t="s">
        <v>14</v>
      </c>
      <c r="D7401" s="9">
        <v>0</v>
      </c>
      <c r="E7401" s="8">
        <v>310</v>
      </c>
    </row>
    <row r="7402" s="3" customFormat="1" ht="18.75" spans="1:5">
      <c r="A7402" s="8" t="str">
        <f t="shared" si="129"/>
        <v>250032</v>
      </c>
      <c r="B7402" s="8" t="str">
        <f>"2561408011501"</f>
        <v>2561408011501</v>
      </c>
      <c r="C7402" s="8" t="s">
        <v>14</v>
      </c>
      <c r="D7402" s="9">
        <v>0</v>
      </c>
      <c r="E7402" s="8">
        <v>310</v>
      </c>
    </row>
    <row r="7403" s="3" customFormat="1" ht="18.75" spans="1:5">
      <c r="A7403" s="8" t="str">
        <f t="shared" ref="A7403:A7466" si="130">"250032"</f>
        <v>250032</v>
      </c>
      <c r="B7403" s="8" t="str">
        <f>"2561408011502"</f>
        <v>2561408011502</v>
      </c>
      <c r="C7403" s="8" t="s">
        <v>14</v>
      </c>
      <c r="D7403" s="9">
        <v>0</v>
      </c>
      <c r="E7403" s="8">
        <v>310</v>
      </c>
    </row>
    <row r="7404" s="3" customFormat="1" ht="18.75" spans="1:5">
      <c r="A7404" s="8" t="str">
        <f t="shared" si="130"/>
        <v>250032</v>
      </c>
      <c r="B7404" s="8" t="str">
        <f>"2561408011505"</f>
        <v>2561408011505</v>
      </c>
      <c r="C7404" s="8" t="s">
        <v>14</v>
      </c>
      <c r="D7404" s="9">
        <v>0</v>
      </c>
      <c r="E7404" s="8">
        <v>310</v>
      </c>
    </row>
    <row r="7405" s="3" customFormat="1" ht="18.75" spans="1:5">
      <c r="A7405" s="8" t="str">
        <f t="shared" si="130"/>
        <v>250032</v>
      </c>
      <c r="B7405" s="8" t="str">
        <f>"2561408011510"</f>
        <v>2561408011510</v>
      </c>
      <c r="C7405" s="8" t="s">
        <v>14</v>
      </c>
      <c r="D7405" s="9">
        <v>0</v>
      </c>
      <c r="E7405" s="8">
        <v>310</v>
      </c>
    </row>
    <row r="7406" s="3" customFormat="1" ht="18.75" spans="1:5">
      <c r="A7406" s="8" t="str">
        <f t="shared" si="130"/>
        <v>250032</v>
      </c>
      <c r="B7406" s="8" t="str">
        <f>"2561408011512"</f>
        <v>2561408011512</v>
      </c>
      <c r="C7406" s="8" t="s">
        <v>14</v>
      </c>
      <c r="D7406" s="9">
        <v>0</v>
      </c>
      <c r="E7406" s="8">
        <v>310</v>
      </c>
    </row>
    <row r="7407" s="3" customFormat="1" ht="18.75" spans="1:5">
      <c r="A7407" s="8" t="str">
        <f t="shared" si="130"/>
        <v>250032</v>
      </c>
      <c r="B7407" s="8" t="str">
        <f>"2561408011513"</f>
        <v>2561408011513</v>
      </c>
      <c r="C7407" s="8" t="s">
        <v>14</v>
      </c>
      <c r="D7407" s="9">
        <v>0</v>
      </c>
      <c r="E7407" s="8">
        <v>310</v>
      </c>
    </row>
    <row r="7408" s="3" customFormat="1" ht="18.75" spans="1:5">
      <c r="A7408" s="8" t="str">
        <f t="shared" si="130"/>
        <v>250032</v>
      </c>
      <c r="B7408" s="8" t="str">
        <f>"2561408011516"</f>
        <v>2561408011516</v>
      </c>
      <c r="C7408" s="8" t="s">
        <v>14</v>
      </c>
      <c r="D7408" s="9">
        <v>0</v>
      </c>
      <c r="E7408" s="8">
        <v>310</v>
      </c>
    </row>
    <row r="7409" s="3" customFormat="1" ht="18.75" spans="1:5">
      <c r="A7409" s="8" t="str">
        <f t="shared" si="130"/>
        <v>250032</v>
      </c>
      <c r="B7409" s="8" t="str">
        <f>"2561408011519"</f>
        <v>2561408011519</v>
      </c>
      <c r="C7409" s="8" t="s">
        <v>14</v>
      </c>
      <c r="D7409" s="9">
        <v>0</v>
      </c>
      <c r="E7409" s="8">
        <v>310</v>
      </c>
    </row>
    <row r="7410" s="3" customFormat="1" ht="18.75" spans="1:5">
      <c r="A7410" s="8" t="str">
        <f t="shared" si="130"/>
        <v>250032</v>
      </c>
      <c r="B7410" s="8" t="str">
        <f>"2561408011522"</f>
        <v>2561408011522</v>
      </c>
      <c r="C7410" s="8" t="s">
        <v>14</v>
      </c>
      <c r="D7410" s="9">
        <v>0</v>
      </c>
      <c r="E7410" s="8">
        <v>310</v>
      </c>
    </row>
    <row r="7411" s="3" customFormat="1" ht="18.75" spans="1:5">
      <c r="A7411" s="8" t="str">
        <f t="shared" si="130"/>
        <v>250032</v>
      </c>
      <c r="B7411" s="8" t="str">
        <f>"2561408011523"</f>
        <v>2561408011523</v>
      </c>
      <c r="C7411" s="8" t="s">
        <v>14</v>
      </c>
      <c r="D7411" s="9">
        <v>0</v>
      </c>
      <c r="E7411" s="8">
        <v>310</v>
      </c>
    </row>
    <row r="7412" s="3" customFormat="1" ht="18.75" spans="1:5">
      <c r="A7412" s="8" t="str">
        <f t="shared" si="130"/>
        <v>250032</v>
      </c>
      <c r="B7412" s="8" t="str">
        <f>"2561408011527"</f>
        <v>2561408011527</v>
      </c>
      <c r="C7412" s="8" t="s">
        <v>14</v>
      </c>
      <c r="D7412" s="9">
        <v>0</v>
      </c>
      <c r="E7412" s="8">
        <v>310</v>
      </c>
    </row>
    <row r="7413" s="3" customFormat="1" ht="18.75" spans="1:5">
      <c r="A7413" s="8" t="str">
        <f t="shared" si="130"/>
        <v>250032</v>
      </c>
      <c r="B7413" s="8" t="str">
        <f>"2561408011528"</f>
        <v>2561408011528</v>
      </c>
      <c r="C7413" s="8" t="s">
        <v>14</v>
      </c>
      <c r="D7413" s="9">
        <v>0</v>
      </c>
      <c r="E7413" s="8">
        <v>310</v>
      </c>
    </row>
    <row r="7414" s="3" customFormat="1" ht="18.75" spans="1:5">
      <c r="A7414" s="8" t="str">
        <f t="shared" si="130"/>
        <v>250032</v>
      </c>
      <c r="B7414" s="8" t="str">
        <f>"2561408011529"</f>
        <v>2561408011529</v>
      </c>
      <c r="C7414" s="8" t="s">
        <v>14</v>
      </c>
      <c r="D7414" s="9">
        <v>0</v>
      </c>
      <c r="E7414" s="8">
        <v>310</v>
      </c>
    </row>
    <row r="7415" s="3" customFormat="1" ht="18.75" spans="1:5">
      <c r="A7415" s="8" t="str">
        <f t="shared" si="130"/>
        <v>250032</v>
      </c>
      <c r="B7415" s="8" t="str">
        <f>"2561408011602"</f>
        <v>2561408011602</v>
      </c>
      <c r="C7415" s="8" t="s">
        <v>14</v>
      </c>
      <c r="D7415" s="9">
        <v>0</v>
      </c>
      <c r="E7415" s="8">
        <v>310</v>
      </c>
    </row>
    <row r="7416" s="3" customFormat="1" ht="18.75" spans="1:5">
      <c r="A7416" s="8" t="str">
        <f t="shared" si="130"/>
        <v>250032</v>
      </c>
      <c r="B7416" s="8" t="str">
        <f>"2561408011603"</f>
        <v>2561408011603</v>
      </c>
      <c r="C7416" s="8" t="s">
        <v>14</v>
      </c>
      <c r="D7416" s="9">
        <v>0</v>
      </c>
      <c r="E7416" s="8">
        <v>310</v>
      </c>
    </row>
    <row r="7417" s="3" customFormat="1" ht="18.75" spans="1:5">
      <c r="A7417" s="8" t="str">
        <f t="shared" si="130"/>
        <v>250032</v>
      </c>
      <c r="B7417" s="8" t="str">
        <f>"2561408011607"</f>
        <v>2561408011607</v>
      </c>
      <c r="C7417" s="8" t="s">
        <v>14</v>
      </c>
      <c r="D7417" s="9">
        <v>0</v>
      </c>
      <c r="E7417" s="8">
        <v>310</v>
      </c>
    </row>
    <row r="7418" s="3" customFormat="1" ht="18.75" spans="1:5">
      <c r="A7418" s="8" t="str">
        <f t="shared" si="130"/>
        <v>250032</v>
      </c>
      <c r="B7418" s="8" t="str">
        <f>"2561408011615"</f>
        <v>2561408011615</v>
      </c>
      <c r="C7418" s="8" t="s">
        <v>14</v>
      </c>
      <c r="D7418" s="9">
        <v>0</v>
      </c>
      <c r="E7418" s="8">
        <v>310</v>
      </c>
    </row>
    <row r="7419" s="3" customFormat="1" ht="18.75" spans="1:5">
      <c r="A7419" s="8" t="str">
        <f t="shared" si="130"/>
        <v>250032</v>
      </c>
      <c r="B7419" s="8" t="str">
        <f>"2561408011616"</f>
        <v>2561408011616</v>
      </c>
      <c r="C7419" s="8" t="s">
        <v>14</v>
      </c>
      <c r="D7419" s="9">
        <v>0</v>
      </c>
      <c r="E7419" s="8">
        <v>310</v>
      </c>
    </row>
    <row r="7420" s="3" customFormat="1" ht="18.75" spans="1:5">
      <c r="A7420" s="8" t="str">
        <f t="shared" si="130"/>
        <v>250032</v>
      </c>
      <c r="B7420" s="8" t="str">
        <f>"2561408011617"</f>
        <v>2561408011617</v>
      </c>
      <c r="C7420" s="8" t="s">
        <v>14</v>
      </c>
      <c r="D7420" s="9">
        <v>0</v>
      </c>
      <c r="E7420" s="8">
        <v>310</v>
      </c>
    </row>
    <row r="7421" s="3" customFormat="1" ht="18.75" spans="1:5">
      <c r="A7421" s="8" t="str">
        <f t="shared" si="130"/>
        <v>250032</v>
      </c>
      <c r="B7421" s="8" t="str">
        <f>"2561408011619"</f>
        <v>2561408011619</v>
      </c>
      <c r="C7421" s="8" t="s">
        <v>14</v>
      </c>
      <c r="D7421" s="9">
        <v>0</v>
      </c>
      <c r="E7421" s="8">
        <v>310</v>
      </c>
    </row>
    <row r="7422" s="3" customFormat="1" ht="18.75" spans="1:5">
      <c r="A7422" s="8" t="str">
        <f t="shared" si="130"/>
        <v>250032</v>
      </c>
      <c r="B7422" s="8" t="str">
        <f>"2561408011620"</f>
        <v>2561408011620</v>
      </c>
      <c r="C7422" s="8" t="s">
        <v>14</v>
      </c>
      <c r="D7422" s="9">
        <v>0</v>
      </c>
      <c r="E7422" s="8">
        <v>310</v>
      </c>
    </row>
    <row r="7423" s="3" customFormat="1" ht="18.75" spans="1:5">
      <c r="A7423" s="8" t="str">
        <f t="shared" si="130"/>
        <v>250032</v>
      </c>
      <c r="B7423" s="8" t="str">
        <f>"2561408011621"</f>
        <v>2561408011621</v>
      </c>
      <c r="C7423" s="8" t="s">
        <v>14</v>
      </c>
      <c r="D7423" s="9">
        <v>0</v>
      </c>
      <c r="E7423" s="8">
        <v>310</v>
      </c>
    </row>
    <row r="7424" s="3" customFormat="1" ht="18.75" spans="1:5">
      <c r="A7424" s="8" t="str">
        <f t="shared" si="130"/>
        <v>250032</v>
      </c>
      <c r="B7424" s="8" t="str">
        <f>"2561408011626"</f>
        <v>2561408011626</v>
      </c>
      <c r="C7424" s="8" t="s">
        <v>14</v>
      </c>
      <c r="D7424" s="9">
        <v>0</v>
      </c>
      <c r="E7424" s="8">
        <v>310</v>
      </c>
    </row>
    <row r="7425" s="3" customFormat="1" ht="18.75" spans="1:5">
      <c r="A7425" s="8" t="str">
        <f t="shared" si="130"/>
        <v>250032</v>
      </c>
      <c r="B7425" s="8" t="str">
        <f>"2561408011627"</f>
        <v>2561408011627</v>
      </c>
      <c r="C7425" s="8" t="s">
        <v>14</v>
      </c>
      <c r="D7425" s="9">
        <v>0</v>
      </c>
      <c r="E7425" s="8">
        <v>310</v>
      </c>
    </row>
    <row r="7426" s="3" customFormat="1" ht="18.75" spans="1:5">
      <c r="A7426" s="8" t="str">
        <f t="shared" si="130"/>
        <v>250032</v>
      </c>
      <c r="B7426" s="8" t="str">
        <f>"2561408011628"</f>
        <v>2561408011628</v>
      </c>
      <c r="C7426" s="8" t="s">
        <v>14</v>
      </c>
      <c r="D7426" s="9">
        <v>0</v>
      </c>
      <c r="E7426" s="8">
        <v>310</v>
      </c>
    </row>
    <row r="7427" s="3" customFormat="1" ht="18.75" spans="1:5">
      <c r="A7427" s="8" t="str">
        <f t="shared" si="130"/>
        <v>250032</v>
      </c>
      <c r="B7427" s="8" t="str">
        <f>"2561408011702"</f>
        <v>2561408011702</v>
      </c>
      <c r="C7427" s="8" t="s">
        <v>14</v>
      </c>
      <c r="D7427" s="9">
        <v>0</v>
      </c>
      <c r="E7427" s="8">
        <v>310</v>
      </c>
    </row>
    <row r="7428" s="3" customFormat="1" ht="18.75" spans="1:5">
      <c r="A7428" s="8" t="str">
        <f t="shared" si="130"/>
        <v>250032</v>
      </c>
      <c r="B7428" s="8" t="str">
        <f>"2561408011704"</f>
        <v>2561408011704</v>
      </c>
      <c r="C7428" s="8" t="s">
        <v>14</v>
      </c>
      <c r="D7428" s="9">
        <v>0</v>
      </c>
      <c r="E7428" s="8">
        <v>310</v>
      </c>
    </row>
    <row r="7429" s="3" customFormat="1" ht="18.75" spans="1:5">
      <c r="A7429" s="8" t="str">
        <f t="shared" si="130"/>
        <v>250032</v>
      </c>
      <c r="B7429" s="8" t="str">
        <f>"2561408011705"</f>
        <v>2561408011705</v>
      </c>
      <c r="C7429" s="8" t="s">
        <v>14</v>
      </c>
      <c r="D7429" s="9">
        <v>0</v>
      </c>
      <c r="E7429" s="8">
        <v>310</v>
      </c>
    </row>
    <row r="7430" s="3" customFormat="1" ht="18.75" spans="1:5">
      <c r="A7430" s="8" t="str">
        <f t="shared" si="130"/>
        <v>250032</v>
      </c>
      <c r="B7430" s="8" t="str">
        <f>"2561408011707"</f>
        <v>2561408011707</v>
      </c>
      <c r="C7430" s="8" t="s">
        <v>14</v>
      </c>
      <c r="D7430" s="9">
        <v>0</v>
      </c>
      <c r="E7430" s="8">
        <v>310</v>
      </c>
    </row>
    <row r="7431" s="3" customFormat="1" ht="18.75" spans="1:5">
      <c r="A7431" s="8" t="str">
        <f t="shared" si="130"/>
        <v>250032</v>
      </c>
      <c r="B7431" s="8" t="str">
        <f>"2561408011708"</f>
        <v>2561408011708</v>
      </c>
      <c r="C7431" s="8" t="s">
        <v>14</v>
      </c>
      <c r="D7431" s="9">
        <v>0</v>
      </c>
      <c r="E7431" s="8">
        <v>310</v>
      </c>
    </row>
    <row r="7432" s="3" customFormat="1" ht="18.75" spans="1:5">
      <c r="A7432" s="8" t="str">
        <f t="shared" si="130"/>
        <v>250032</v>
      </c>
      <c r="B7432" s="8" t="str">
        <f>"2561408011710"</f>
        <v>2561408011710</v>
      </c>
      <c r="C7432" s="8" t="s">
        <v>14</v>
      </c>
      <c r="D7432" s="9">
        <v>0</v>
      </c>
      <c r="E7432" s="8">
        <v>310</v>
      </c>
    </row>
    <row r="7433" s="3" customFormat="1" ht="18.75" spans="1:5">
      <c r="A7433" s="8" t="str">
        <f t="shared" si="130"/>
        <v>250032</v>
      </c>
      <c r="B7433" s="8" t="str">
        <f>"2561408011711"</f>
        <v>2561408011711</v>
      </c>
      <c r="C7433" s="8" t="s">
        <v>14</v>
      </c>
      <c r="D7433" s="9">
        <v>0</v>
      </c>
      <c r="E7433" s="8">
        <v>310</v>
      </c>
    </row>
    <row r="7434" s="3" customFormat="1" ht="18.75" spans="1:5">
      <c r="A7434" s="8" t="str">
        <f t="shared" si="130"/>
        <v>250032</v>
      </c>
      <c r="B7434" s="8" t="str">
        <f>"2561408011712"</f>
        <v>2561408011712</v>
      </c>
      <c r="C7434" s="8" t="s">
        <v>14</v>
      </c>
      <c r="D7434" s="9">
        <v>0</v>
      </c>
      <c r="E7434" s="8">
        <v>310</v>
      </c>
    </row>
    <row r="7435" s="3" customFormat="1" ht="18.75" spans="1:5">
      <c r="A7435" s="8" t="str">
        <f t="shared" si="130"/>
        <v>250032</v>
      </c>
      <c r="B7435" s="8" t="str">
        <f>"2561408011714"</f>
        <v>2561408011714</v>
      </c>
      <c r="C7435" s="8" t="s">
        <v>14</v>
      </c>
      <c r="D7435" s="9">
        <v>0</v>
      </c>
      <c r="E7435" s="8">
        <v>310</v>
      </c>
    </row>
    <row r="7436" s="3" customFormat="1" ht="18.75" spans="1:5">
      <c r="A7436" s="8" t="str">
        <f t="shared" si="130"/>
        <v>250032</v>
      </c>
      <c r="B7436" s="8" t="str">
        <f>"2561408011718"</f>
        <v>2561408011718</v>
      </c>
      <c r="C7436" s="8" t="s">
        <v>14</v>
      </c>
      <c r="D7436" s="9">
        <v>0</v>
      </c>
      <c r="E7436" s="8">
        <v>310</v>
      </c>
    </row>
    <row r="7437" s="3" customFormat="1" ht="18.75" spans="1:5">
      <c r="A7437" s="8" t="str">
        <f t="shared" si="130"/>
        <v>250032</v>
      </c>
      <c r="B7437" s="8" t="str">
        <f>"2561408011719"</f>
        <v>2561408011719</v>
      </c>
      <c r="C7437" s="8" t="s">
        <v>14</v>
      </c>
      <c r="D7437" s="9">
        <v>0</v>
      </c>
      <c r="E7437" s="8">
        <v>310</v>
      </c>
    </row>
    <row r="7438" s="3" customFormat="1" ht="18.75" spans="1:5">
      <c r="A7438" s="8" t="str">
        <f t="shared" si="130"/>
        <v>250032</v>
      </c>
      <c r="B7438" s="8" t="str">
        <f>"2561408011723"</f>
        <v>2561408011723</v>
      </c>
      <c r="C7438" s="8" t="s">
        <v>14</v>
      </c>
      <c r="D7438" s="9">
        <v>0</v>
      </c>
      <c r="E7438" s="8">
        <v>310</v>
      </c>
    </row>
    <row r="7439" s="3" customFormat="1" ht="18.75" spans="1:5">
      <c r="A7439" s="8" t="str">
        <f t="shared" si="130"/>
        <v>250032</v>
      </c>
      <c r="B7439" s="8" t="str">
        <f>"2561408011730"</f>
        <v>2561408011730</v>
      </c>
      <c r="C7439" s="8" t="s">
        <v>14</v>
      </c>
      <c r="D7439" s="9">
        <v>0</v>
      </c>
      <c r="E7439" s="8">
        <v>310</v>
      </c>
    </row>
    <row r="7440" s="3" customFormat="1" ht="18.75" spans="1:5">
      <c r="A7440" s="8" t="str">
        <f t="shared" si="130"/>
        <v>250032</v>
      </c>
      <c r="B7440" s="8" t="str">
        <f>"2561408011802"</f>
        <v>2561408011802</v>
      </c>
      <c r="C7440" s="8" t="s">
        <v>14</v>
      </c>
      <c r="D7440" s="9">
        <v>0</v>
      </c>
      <c r="E7440" s="8">
        <v>310</v>
      </c>
    </row>
    <row r="7441" s="3" customFormat="1" ht="18.75" spans="1:5">
      <c r="A7441" s="8" t="str">
        <f t="shared" si="130"/>
        <v>250032</v>
      </c>
      <c r="B7441" s="8" t="str">
        <f>"2561408011807"</f>
        <v>2561408011807</v>
      </c>
      <c r="C7441" s="8" t="s">
        <v>14</v>
      </c>
      <c r="D7441" s="9">
        <v>0</v>
      </c>
      <c r="E7441" s="8">
        <v>310</v>
      </c>
    </row>
    <row r="7442" s="3" customFormat="1" ht="18.75" spans="1:5">
      <c r="A7442" s="8" t="str">
        <f t="shared" si="130"/>
        <v>250032</v>
      </c>
      <c r="B7442" s="8" t="str">
        <f>"2561408011809"</f>
        <v>2561408011809</v>
      </c>
      <c r="C7442" s="8" t="s">
        <v>14</v>
      </c>
      <c r="D7442" s="9">
        <v>0</v>
      </c>
      <c r="E7442" s="8">
        <v>310</v>
      </c>
    </row>
    <row r="7443" s="3" customFormat="1" ht="18.75" spans="1:5">
      <c r="A7443" s="8" t="str">
        <f t="shared" si="130"/>
        <v>250032</v>
      </c>
      <c r="B7443" s="8" t="str">
        <f>"2561408011811"</f>
        <v>2561408011811</v>
      </c>
      <c r="C7443" s="8" t="s">
        <v>14</v>
      </c>
      <c r="D7443" s="9">
        <v>0</v>
      </c>
      <c r="E7443" s="8">
        <v>310</v>
      </c>
    </row>
    <row r="7444" s="3" customFormat="1" ht="18.75" spans="1:5">
      <c r="A7444" s="8" t="str">
        <f t="shared" si="130"/>
        <v>250032</v>
      </c>
      <c r="B7444" s="8" t="str">
        <f>"2561408011813"</f>
        <v>2561408011813</v>
      </c>
      <c r="C7444" s="8" t="s">
        <v>14</v>
      </c>
      <c r="D7444" s="9">
        <v>0</v>
      </c>
      <c r="E7444" s="8">
        <v>310</v>
      </c>
    </row>
    <row r="7445" s="3" customFormat="1" ht="18.75" spans="1:5">
      <c r="A7445" s="8" t="str">
        <f t="shared" si="130"/>
        <v>250032</v>
      </c>
      <c r="B7445" s="8" t="str">
        <f>"2561408011816"</f>
        <v>2561408011816</v>
      </c>
      <c r="C7445" s="8" t="s">
        <v>14</v>
      </c>
      <c r="D7445" s="9">
        <v>0</v>
      </c>
      <c r="E7445" s="8">
        <v>310</v>
      </c>
    </row>
    <row r="7446" s="3" customFormat="1" ht="18.75" spans="1:5">
      <c r="A7446" s="8" t="str">
        <f t="shared" si="130"/>
        <v>250032</v>
      </c>
      <c r="B7446" s="8" t="str">
        <f>"2561408011819"</f>
        <v>2561408011819</v>
      </c>
      <c r="C7446" s="8" t="s">
        <v>14</v>
      </c>
      <c r="D7446" s="9">
        <v>0</v>
      </c>
      <c r="E7446" s="8">
        <v>310</v>
      </c>
    </row>
    <row r="7447" s="3" customFormat="1" ht="18.75" spans="1:5">
      <c r="A7447" s="8" t="str">
        <f t="shared" si="130"/>
        <v>250032</v>
      </c>
      <c r="B7447" s="8" t="str">
        <f>"2561408011820"</f>
        <v>2561408011820</v>
      </c>
      <c r="C7447" s="8" t="s">
        <v>14</v>
      </c>
      <c r="D7447" s="9">
        <v>0</v>
      </c>
      <c r="E7447" s="8">
        <v>310</v>
      </c>
    </row>
    <row r="7448" s="3" customFormat="1" ht="18.75" spans="1:5">
      <c r="A7448" s="8" t="str">
        <f t="shared" si="130"/>
        <v>250032</v>
      </c>
      <c r="B7448" s="8" t="str">
        <f>"2561408011822"</f>
        <v>2561408011822</v>
      </c>
      <c r="C7448" s="8" t="s">
        <v>14</v>
      </c>
      <c r="D7448" s="9">
        <v>0</v>
      </c>
      <c r="E7448" s="8">
        <v>310</v>
      </c>
    </row>
    <row r="7449" s="3" customFormat="1" ht="18.75" spans="1:5">
      <c r="A7449" s="8" t="str">
        <f t="shared" si="130"/>
        <v>250032</v>
      </c>
      <c r="B7449" s="8" t="str">
        <f>"2561408011823"</f>
        <v>2561408011823</v>
      </c>
      <c r="C7449" s="8" t="s">
        <v>14</v>
      </c>
      <c r="D7449" s="9">
        <v>0</v>
      </c>
      <c r="E7449" s="8">
        <v>310</v>
      </c>
    </row>
    <row r="7450" s="3" customFormat="1" ht="18.75" spans="1:5">
      <c r="A7450" s="8" t="str">
        <f t="shared" si="130"/>
        <v>250032</v>
      </c>
      <c r="B7450" s="8" t="str">
        <f>"2561408011824"</f>
        <v>2561408011824</v>
      </c>
      <c r="C7450" s="8" t="s">
        <v>14</v>
      </c>
      <c r="D7450" s="9">
        <v>0</v>
      </c>
      <c r="E7450" s="8">
        <v>310</v>
      </c>
    </row>
    <row r="7451" s="3" customFormat="1" ht="18.75" spans="1:5">
      <c r="A7451" s="8" t="str">
        <f t="shared" si="130"/>
        <v>250032</v>
      </c>
      <c r="B7451" s="8" t="str">
        <f>"2561408011825"</f>
        <v>2561408011825</v>
      </c>
      <c r="C7451" s="8" t="s">
        <v>14</v>
      </c>
      <c r="D7451" s="9">
        <v>0</v>
      </c>
      <c r="E7451" s="8">
        <v>310</v>
      </c>
    </row>
    <row r="7452" s="3" customFormat="1" ht="18.75" spans="1:5">
      <c r="A7452" s="8" t="str">
        <f t="shared" si="130"/>
        <v>250032</v>
      </c>
      <c r="B7452" s="8" t="str">
        <f>"2561408011827"</f>
        <v>2561408011827</v>
      </c>
      <c r="C7452" s="8" t="s">
        <v>14</v>
      </c>
      <c r="D7452" s="9">
        <v>0</v>
      </c>
      <c r="E7452" s="8">
        <v>310</v>
      </c>
    </row>
    <row r="7453" s="3" customFormat="1" ht="18.75" spans="1:5">
      <c r="A7453" s="8" t="str">
        <f t="shared" si="130"/>
        <v>250032</v>
      </c>
      <c r="B7453" s="8" t="str">
        <f>"2561408011902"</f>
        <v>2561408011902</v>
      </c>
      <c r="C7453" s="8" t="s">
        <v>14</v>
      </c>
      <c r="D7453" s="9">
        <v>0</v>
      </c>
      <c r="E7453" s="8">
        <v>310</v>
      </c>
    </row>
    <row r="7454" s="3" customFormat="1" ht="18.75" spans="1:5">
      <c r="A7454" s="8" t="str">
        <f t="shared" si="130"/>
        <v>250032</v>
      </c>
      <c r="B7454" s="8" t="str">
        <f>"2561408011907"</f>
        <v>2561408011907</v>
      </c>
      <c r="C7454" s="8" t="s">
        <v>14</v>
      </c>
      <c r="D7454" s="9">
        <v>0</v>
      </c>
      <c r="E7454" s="8">
        <v>310</v>
      </c>
    </row>
    <row r="7455" s="3" customFormat="1" ht="18.75" spans="1:5">
      <c r="A7455" s="8" t="str">
        <f t="shared" si="130"/>
        <v>250032</v>
      </c>
      <c r="B7455" s="8" t="str">
        <f>"2561408011908"</f>
        <v>2561408011908</v>
      </c>
      <c r="C7455" s="8" t="s">
        <v>14</v>
      </c>
      <c r="D7455" s="9">
        <v>0</v>
      </c>
      <c r="E7455" s="8">
        <v>310</v>
      </c>
    </row>
    <row r="7456" s="3" customFormat="1" ht="18.75" spans="1:5">
      <c r="A7456" s="8" t="str">
        <f t="shared" si="130"/>
        <v>250032</v>
      </c>
      <c r="B7456" s="8" t="str">
        <f>"2561408011909"</f>
        <v>2561408011909</v>
      </c>
      <c r="C7456" s="8" t="s">
        <v>14</v>
      </c>
      <c r="D7456" s="9">
        <v>0</v>
      </c>
      <c r="E7456" s="8">
        <v>310</v>
      </c>
    </row>
    <row r="7457" s="3" customFormat="1" ht="18.75" spans="1:5">
      <c r="A7457" s="8" t="str">
        <f t="shared" si="130"/>
        <v>250032</v>
      </c>
      <c r="B7457" s="8" t="str">
        <f>"2561408011912"</f>
        <v>2561408011912</v>
      </c>
      <c r="C7457" s="8" t="s">
        <v>14</v>
      </c>
      <c r="D7457" s="9">
        <v>0</v>
      </c>
      <c r="E7457" s="8">
        <v>310</v>
      </c>
    </row>
    <row r="7458" s="3" customFormat="1" ht="18.75" spans="1:5">
      <c r="A7458" s="8" t="str">
        <f t="shared" si="130"/>
        <v>250032</v>
      </c>
      <c r="B7458" s="8" t="str">
        <f>"2561408011919"</f>
        <v>2561408011919</v>
      </c>
      <c r="C7458" s="8" t="s">
        <v>14</v>
      </c>
      <c r="D7458" s="9">
        <v>0</v>
      </c>
      <c r="E7458" s="8">
        <v>310</v>
      </c>
    </row>
    <row r="7459" s="3" customFormat="1" ht="18.75" spans="1:5">
      <c r="A7459" s="8" t="str">
        <f t="shared" si="130"/>
        <v>250032</v>
      </c>
      <c r="B7459" s="8" t="str">
        <f>"2561408011923"</f>
        <v>2561408011923</v>
      </c>
      <c r="C7459" s="8" t="s">
        <v>14</v>
      </c>
      <c r="D7459" s="9">
        <v>0</v>
      </c>
      <c r="E7459" s="8">
        <v>310</v>
      </c>
    </row>
    <row r="7460" s="3" customFormat="1" ht="18.75" spans="1:5">
      <c r="A7460" s="8" t="str">
        <f t="shared" si="130"/>
        <v>250032</v>
      </c>
      <c r="B7460" s="8" t="str">
        <f>"2561408011924"</f>
        <v>2561408011924</v>
      </c>
      <c r="C7460" s="8" t="s">
        <v>14</v>
      </c>
      <c r="D7460" s="9">
        <v>0</v>
      </c>
      <c r="E7460" s="8">
        <v>310</v>
      </c>
    </row>
    <row r="7461" s="3" customFormat="1" ht="18.75" spans="1:5">
      <c r="A7461" s="8" t="str">
        <f t="shared" si="130"/>
        <v>250032</v>
      </c>
      <c r="B7461" s="8" t="str">
        <f>"2561408011927"</f>
        <v>2561408011927</v>
      </c>
      <c r="C7461" s="8" t="s">
        <v>14</v>
      </c>
      <c r="D7461" s="9">
        <v>0</v>
      </c>
      <c r="E7461" s="8">
        <v>310</v>
      </c>
    </row>
    <row r="7462" s="3" customFormat="1" ht="18.75" spans="1:5">
      <c r="A7462" s="8" t="str">
        <f t="shared" si="130"/>
        <v>250032</v>
      </c>
      <c r="B7462" s="8" t="str">
        <f>"2561408011930"</f>
        <v>2561408011930</v>
      </c>
      <c r="C7462" s="8" t="s">
        <v>14</v>
      </c>
      <c r="D7462" s="9">
        <v>0</v>
      </c>
      <c r="E7462" s="8">
        <v>310</v>
      </c>
    </row>
    <row r="7463" s="3" customFormat="1" ht="18.75" spans="1:5">
      <c r="A7463" s="8" t="str">
        <f t="shared" si="130"/>
        <v>250032</v>
      </c>
      <c r="B7463" s="8" t="str">
        <f>"2561408012002"</f>
        <v>2561408012002</v>
      </c>
      <c r="C7463" s="8" t="s">
        <v>14</v>
      </c>
      <c r="D7463" s="9">
        <v>0</v>
      </c>
      <c r="E7463" s="8">
        <v>310</v>
      </c>
    </row>
    <row r="7464" s="3" customFormat="1" ht="18.75" spans="1:5">
      <c r="A7464" s="8" t="str">
        <f t="shared" si="130"/>
        <v>250032</v>
      </c>
      <c r="B7464" s="8" t="str">
        <f>"2561408012010"</f>
        <v>2561408012010</v>
      </c>
      <c r="C7464" s="8" t="s">
        <v>14</v>
      </c>
      <c r="D7464" s="9">
        <v>0</v>
      </c>
      <c r="E7464" s="8">
        <v>310</v>
      </c>
    </row>
    <row r="7465" s="3" customFormat="1" ht="18.75" spans="1:5">
      <c r="A7465" s="8" t="str">
        <f t="shared" si="130"/>
        <v>250032</v>
      </c>
      <c r="B7465" s="8" t="str">
        <f>"2561408012013"</f>
        <v>2561408012013</v>
      </c>
      <c r="C7465" s="8" t="s">
        <v>14</v>
      </c>
      <c r="D7465" s="9">
        <v>0</v>
      </c>
      <c r="E7465" s="8">
        <v>310</v>
      </c>
    </row>
    <row r="7466" s="3" customFormat="1" ht="18.75" spans="1:5">
      <c r="A7466" s="8" t="str">
        <f t="shared" si="130"/>
        <v>250032</v>
      </c>
      <c r="B7466" s="8" t="str">
        <f>"2561408012018"</f>
        <v>2561408012018</v>
      </c>
      <c r="C7466" s="8" t="s">
        <v>14</v>
      </c>
      <c r="D7466" s="9">
        <v>0</v>
      </c>
      <c r="E7466" s="8">
        <v>310</v>
      </c>
    </row>
    <row r="7467" s="3" customFormat="1" ht="18.75" spans="1:5">
      <c r="A7467" s="8" t="str">
        <f t="shared" ref="A7467:A7530" si="131">"250032"</f>
        <v>250032</v>
      </c>
      <c r="B7467" s="8" t="str">
        <f>"2561408012020"</f>
        <v>2561408012020</v>
      </c>
      <c r="C7467" s="8" t="s">
        <v>14</v>
      </c>
      <c r="D7467" s="9">
        <v>0</v>
      </c>
      <c r="E7467" s="8">
        <v>310</v>
      </c>
    </row>
    <row r="7468" s="3" customFormat="1" ht="18.75" spans="1:5">
      <c r="A7468" s="8" t="str">
        <f t="shared" si="131"/>
        <v>250032</v>
      </c>
      <c r="B7468" s="8" t="str">
        <f>"2561408012021"</f>
        <v>2561408012021</v>
      </c>
      <c r="C7468" s="8" t="s">
        <v>14</v>
      </c>
      <c r="D7468" s="9">
        <v>0</v>
      </c>
      <c r="E7468" s="8">
        <v>310</v>
      </c>
    </row>
    <row r="7469" s="3" customFormat="1" ht="18.75" spans="1:5">
      <c r="A7469" s="8" t="str">
        <f t="shared" si="131"/>
        <v>250032</v>
      </c>
      <c r="B7469" s="8" t="str">
        <f>"2561408012026"</f>
        <v>2561408012026</v>
      </c>
      <c r="C7469" s="8" t="s">
        <v>14</v>
      </c>
      <c r="D7469" s="9">
        <v>0</v>
      </c>
      <c r="E7469" s="8">
        <v>310</v>
      </c>
    </row>
    <row r="7470" s="3" customFormat="1" ht="18.75" spans="1:5">
      <c r="A7470" s="8" t="str">
        <f t="shared" si="131"/>
        <v>250032</v>
      </c>
      <c r="B7470" s="8" t="str">
        <f>"2561408012104"</f>
        <v>2561408012104</v>
      </c>
      <c r="C7470" s="8" t="s">
        <v>14</v>
      </c>
      <c r="D7470" s="9">
        <v>0</v>
      </c>
      <c r="E7470" s="8">
        <v>310</v>
      </c>
    </row>
    <row r="7471" s="3" customFormat="1" ht="18.75" spans="1:5">
      <c r="A7471" s="8" t="str">
        <f t="shared" si="131"/>
        <v>250032</v>
      </c>
      <c r="B7471" s="8" t="str">
        <f>"2561408012105"</f>
        <v>2561408012105</v>
      </c>
      <c r="C7471" s="8" t="s">
        <v>14</v>
      </c>
      <c r="D7471" s="9">
        <v>0</v>
      </c>
      <c r="E7471" s="8">
        <v>310</v>
      </c>
    </row>
    <row r="7472" s="3" customFormat="1" ht="18.75" spans="1:5">
      <c r="A7472" s="8" t="str">
        <f t="shared" si="131"/>
        <v>250032</v>
      </c>
      <c r="B7472" s="8" t="str">
        <f>"2561408012106"</f>
        <v>2561408012106</v>
      </c>
      <c r="C7472" s="8" t="s">
        <v>14</v>
      </c>
      <c r="D7472" s="9">
        <v>0</v>
      </c>
      <c r="E7472" s="8">
        <v>310</v>
      </c>
    </row>
    <row r="7473" s="3" customFormat="1" ht="18.75" spans="1:5">
      <c r="A7473" s="8" t="str">
        <f t="shared" si="131"/>
        <v>250032</v>
      </c>
      <c r="B7473" s="8" t="str">
        <f>"2561408012108"</f>
        <v>2561408012108</v>
      </c>
      <c r="C7473" s="8" t="s">
        <v>14</v>
      </c>
      <c r="D7473" s="9">
        <v>0</v>
      </c>
      <c r="E7473" s="8">
        <v>310</v>
      </c>
    </row>
    <row r="7474" s="3" customFormat="1" ht="18.75" spans="1:5">
      <c r="A7474" s="8" t="str">
        <f t="shared" si="131"/>
        <v>250032</v>
      </c>
      <c r="B7474" s="8" t="str">
        <f>"2561408012109"</f>
        <v>2561408012109</v>
      </c>
      <c r="C7474" s="8" t="s">
        <v>14</v>
      </c>
      <c r="D7474" s="9">
        <v>0</v>
      </c>
      <c r="E7474" s="8">
        <v>310</v>
      </c>
    </row>
    <row r="7475" s="3" customFormat="1" ht="18.75" spans="1:5">
      <c r="A7475" s="8" t="str">
        <f t="shared" si="131"/>
        <v>250032</v>
      </c>
      <c r="B7475" s="8" t="str">
        <f>"2561408012110"</f>
        <v>2561408012110</v>
      </c>
      <c r="C7475" s="8" t="s">
        <v>14</v>
      </c>
      <c r="D7475" s="9">
        <v>0</v>
      </c>
      <c r="E7475" s="8">
        <v>310</v>
      </c>
    </row>
    <row r="7476" s="3" customFormat="1" ht="18.75" spans="1:5">
      <c r="A7476" s="8" t="str">
        <f t="shared" si="131"/>
        <v>250032</v>
      </c>
      <c r="B7476" s="8" t="str">
        <f>"2561408012113"</f>
        <v>2561408012113</v>
      </c>
      <c r="C7476" s="8" t="s">
        <v>14</v>
      </c>
      <c r="D7476" s="9">
        <v>0</v>
      </c>
      <c r="E7476" s="8">
        <v>310</v>
      </c>
    </row>
    <row r="7477" s="3" customFormat="1" ht="18.75" spans="1:5">
      <c r="A7477" s="8" t="str">
        <f t="shared" si="131"/>
        <v>250032</v>
      </c>
      <c r="B7477" s="8" t="str">
        <f>"2561408012118"</f>
        <v>2561408012118</v>
      </c>
      <c r="C7477" s="8" t="s">
        <v>14</v>
      </c>
      <c r="D7477" s="9">
        <v>0</v>
      </c>
      <c r="E7477" s="8">
        <v>310</v>
      </c>
    </row>
    <row r="7478" s="3" customFormat="1" ht="18.75" spans="1:5">
      <c r="A7478" s="8" t="str">
        <f t="shared" si="131"/>
        <v>250032</v>
      </c>
      <c r="B7478" s="8" t="str">
        <f>"2561408012120"</f>
        <v>2561408012120</v>
      </c>
      <c r="C7478" s="8" t="s">
        <v>14</v>
      </c>
      <c r="D7478" s="9">
        <v>0</v>
      </c>
      <c r="E7478" s="8">
        <v>310</v>
      </c>
    </row>
    <row r="7479" s="3" customFormat="1" ht="18.75" spans="1:5">
      <c r="A7479" s="8" t="str">
        <f t="shared" si="131"/>
        <v>250032</v>
      </c>
      <c r="B7479" s="8" t="str">
        <f>"2561408012122"</f>
        <v>2561408012122</v>
      </c>
      <c r="C7479" s="8" t="s">
        <v>14</v>
      </c>
      <c r="D7479" s="9">
        <v>0</v>
      </c>
      <c r="E7479" s="8">
        <v>310</v>
      </c>
    </row>
    <row r="7480" s="3" customFormat="1" ht="18.75" spans="1:5">
      <c r="A7480" s="8" t="str">
        <f t="shared" si="131"/>
        <v>250032</v>
      </c>
      <c r="B7480" s="8" t="str">
        <f>"2561408012123"</f>
        <v>2561408012123</v>
      </c>
      <c r="C7480" s="8" t="s">
        <v>14</v>
      </c>
      <c r="D7480" s="9">
        <v>0</v>
      </c>
      <c r="E7480" s="8">
        <v>310</v>
      </c>
    </row>
    <row r="7481" s="3" customFormat="1" ht="18.75" spans="1:5">
      <c r="A7481" s="8" t="str">
        <f t="shared" si="131"/>
        <v>250032</v>
      </c>
      <c r="B7481" s="8" t="str">
        <f>"2561408012124"</f>
        <v>2561408012124</v>
      </c>
      <c r="C7481" s="8" t="s">
        <v>14</v>
      </c>
      <c r="D7481" s="9">
        <v>0</v>
      </c>
      <c r="E7481" s="8">
        <v>310</v>
      </c>
    </row>
    <row r="7482" s="3" customFormat="1" ht="18.75" spans="1:5">
      <c r="A7482" s="8" t="str">
        <f t="shared" si="131"/>
        <v>250032</v>
      </c>
      <c r="B7482" s="8" t="str">
        <f>"2561408012125"</f>
        <v>2561408012125</v>
      </c>
      <c r="C7482" s="8" t="s">
        <v>14</v>
      </c>
      <c r="D7482" s="9">
        <v>0</v>
      </c>
      <c r="E7482" s="8">
        <v>310</v>
      </c>
    </row>
    <row r="7483" s="3" customFormat="1" ht="18.75" spans="1:5">
      <c r="A7483" s="8" t="str">
        <f t="shared" si="131"/>
        <v>250032</v>
      </c>
      <c r="B7483" s="8" t="str">
        <f>"2561408012127"</f>
        <v>2561408012127</v>
      </c>
      <c r="C7483" s="8" t="s">
        <v>14</v>
      </c>
      <c r="D7483" s="9">
        <v>0</v>
      </c>
      <c r="E7483" s="8">
        <v>310</v>
      </c>
    </row>
    <row r="7484" s="3" customFormat="1" ht="18.75" spans="1:5">
      <c r="A7484" s="8" t="str">
        <f t="shared" si="131"/>
        <v>250032</v>
      </c>
      <c r="B7484" s="8" t="str">
        <f>"2561408012202"</f>
        <v>2561408012202</v>
      </c>
      <c r="C7484" s="8" t="s">
        <v>14</v>
      </c>
      <c r="D7484" s="9">
        <v>0</v>
      </c>
      <c r="E7484" s="8">
        <v>310</v>
      </c>
    </row>
    <row r="7485" s="3" customFormat="1" ht="18.75" spans="1:5">
      <c r="A7485" s="8" t="str">
        <f t="shared" si="131"/>
        <v>250032</v>
      </c>
      <c r="B7485" s="8" t="str">
        <f>"2561408012204"</f>
        <v>2561408012204</v>
      </c>
      <c r="C7485" s="8" t="s">
        <v>14</v>
      </c>
      <c r="D7485" s="9">
        <v>0</v>
      </c>
      <c r="E7485" s="8">
        <v>310</v>
      </c>
    </row>
    <row r="7486" s="3" customFormat="1" ht="18.75" spans="1:5">
      <c r="A7486" s="8" t="str">
        <f t="shared" si="131"/>
        <v>250032</v>
      </c>
      <c r="B7486" s="8" t="str">
        <f>"2561408012209"</f>
        <v>2561408012209</v>
      </c>
      <c r="C7486" s="8" t="s">
        <v>14</v>
      </c>
      <c r="D7486" s="9">
        <v>0</v>
      </c>
      <c r="E7486" s="8">
        <v>310</v>
      </c>
    </row>
    <row r="7487" s="3" customFormat="1" ht="18.75" spans="1:5">
      <c r="A7487" s="8" t="str">
        <f t="shared" si="131"/>
        <v>250032</v>
      </c>
      <c r="B7487" s="8" t="str">
        <f>"2561408012210"</f>
        <v>2561408012210</v>
      </c>
      <c r="C7487" s="8" t="s">
        <v>14</v>
      </c>
      <c r="D7487" s="9">
        <v>0</v>
      </c>
      <c r="E7487" s="8">
        <v>310</v>
      </c>
    </row>
    <row r="7488" s="3" customFormat="1" ht="18.75" spans="1:5">
      <c r="A7488" s="8" t="str">
        <f t="shared" si="131"/>
        <v>250032</v>
      </c>
      <c r="B7488" s="8" t="str">
        <f>"2561408012214"</f>
        <v>2561408012214</v>
      </c>
      <c r="C7488" s="8" t="s">
        <v>14</v>
      </c>
      <c r="D7488" s="9">
        <v>0</v>
      </c>
      <c r="E7488" s="8">
        <v>310</v>
      </c>
    </row>
    <row r="7489" s="3" customFormat="1" ht="18.75" spans="1:5">
      <c r="A7489" s="8" t="str">
        <f t="shared" si="131"/>
        <v>250032</v>
      </c>
      <c r="B7489" s="8" t="str">
        <f>"2561408012217"</f>
        <v>2561408012217</v>
      </c>
      <c r="C7489" s="8" t="s">
        <v>14</v>
      </c>
      <c r="D7489" s="9">
        <v>0</v>
      </c>
      <c r="E7489" s="8">
        <v>310</v>
      </c>
    </row>
    <row r="7490" s="3" customFormat="1" ht="18.75" spans="1:5">
      <c r="A7490" s="8" t="str">
        <f t="shared" si="131"/>
        <v>250032</v>
      </c>
      <c r="B7490" s="8" t="str">
        <f>"2561408012218"</f>
        <v>2561408012218</v>
      </c>
      <c r="C7490" s="8" t="s">
        <v>14</v>
      </c>
      <c r="D7490" s="9">
        <v>0</v>
      </c>
      <c r="E7490" s="8">
        <v>310</v>
      </c>
    </row>
    <row r="7491" s="3" customFormat="1" ht="18.75" spans="1:5">
      <c r="A7491" s="8" t="str">
        <f t="shared" si="131"/>
        <v>250032</v>
      </c>
      <c r="B7491" s="8" t="str">
        <f>"2561408012220"</f>
        <v>2561408012220</v>
      </c>
      <c r="C7491" s="8" t="s">
        <v>14</v>
      </c>
      <c r="D7491" s="9">
        <v>0</v>
      </c>
      <c r="E7491" s="8">
        <v>310</v>
      </c>
    </row>
    <row r="7492" s="3" customFormat="1" ht="18.75" spans="1:5">
      <c r="A7492" s="8" t="str">
        <f t="shared" si="131"/>
        <v>250032</v>
      </c>
      <c r="B7492" s="8" t="str">
        <f>"2561408012221"</f>
        <v>2561408012221</v>
      </c>
      <c r="C7492" s="8" t="s">
        <v>14</v>
      </c>
      <c r="D7492" s="9">
        <v>0</v>
      </c>
      <c r="E7492" s="8">
        <v>310</v>
      </c>
    </row>
    <row r="7493" s="3" customFormat="1" ht="18.75" spans="1:5">
      <c r="A7493" s="8" t="str">
        <f t="shared" si="131"/>
        <v>250032</v>
      </c>
      <c r="B7493" s="8" t="str">
        <f>"2561408012223"</f>
        <v>2561408012223</v>
      </c>
      <c r="C7493" s="8" t="s">
        <v>14</v>
      </c>
      <c r="D7493" s="9">
        <v>0</v>
      </c>
      <c r="E7493" s="8">
        <v>310</v>
      </c>
    </row>
    <row r="7494" s="3" customFormat="1" ht="18.75" spans="1:5">
      <c r="A7494" s="8" t="str">
        <f t="shared" si="131"/>
        <v>250032</v>
      </c>
      <c r="B7494" s="8" t="str">
        <f>"2561408012225"</f>
        <v>2561408012225</v>
      </c>
      <c r="C7494" s="8" t="s">
        <v>14</v>
      </c>
      <c r="D7494" s="9">
        <v>0</v>
      </c>
      <c r="E7494" s="8">
        <v>310</v>
      </c>
    </row>
    <row r="7495" s="3" customFormat="1" ht="18.75" spans="1:5">
      <c r="A7495" s="8" t="str">
        <f t="shared" si="131"/>
        <v>250032</v>
      </c>
      <c r="B7495" s="8" t="str">
        <f>"2561408012227"</f>
        <v>2561408012227</v>
      </c>
      <c r="C7495" s="8" t="s">
        <v>14</v>
      </c>
      <c r="D7495" s="9">
        <v>0</v>
      </c>
      <c r="E7495" s="8">
        <v>310</v>
      </c>
    </row>
    <row r="7496" s="3" customFormat="1" ht="18.75" spans="1:5">
      <c r="A7496" s="8" t="str">
        <f t="shared" si="131"/>
        <v>250032</v>
      </c>
      <c r="B7496" s="8" t="str">
        <f>"2561408012302"</f>
        <v>2561408012302</v>
      </c>
      <c r="C7496" s="8" t="s">
        <v>14</v>
      </c>
      <c r="D7496" s="9">
        <v>0</v>
      </c>
      <c r="E7496" s="8">
        <v>310</v>
      </c>
    </row>
    <row r="7497" s="3" customFormat="1" ht="18.75" spans="1:5">
      <c r="A7497" s="8" t="str">
        <f t="shared" si="131"/>
        <v>250032</v>
      </c>
      <c r="B7497" s="8" t="str">
        <f>"2561408012303"</f>
        <v>2561408012303</v>
      </c>
      <c r="C7497" s="8" t="s">
        <v>14</v>
      </c>
      <c r="D7497" s="9">
        <v>0</v>
      </c>
      <c r="E7497" s="8">
        <v>310</v>
      </c>
    </row>
    <row r="7498" s="3" customFormat="1" ht="18.75" spans="1:5">
      <c r="A7498" s="8" t="str">
        <f t="shared" si="131"/>
        <v>250032</v>
      </c>
      <c r="B7498" s="8" t="str">
        <f>"2561408012304"</f>
        <v>2561408012304</v>
      </c>
      <c r="C7498" s="8" t="s">
        <v>14</v>
      </c>
      <c r="D7498" s="9">
        <v>0</v>
      </c>
      <c r="E7498" s="8">
        <v>310</v>
      </c>
    </row>
    <row r="7499" s="3" customFormat="1" ht="18.75" spans="1:5">
      <c r="A7499" s="8" t="str">
        <f t="shared" si="131"/>
        <v>250032</v>
      </c>
      <c r="B7499" s="8" t="str">
        <f>"2561408012306"</f>
        <v>2561408012306</v>
      </c>
      <c r="C7499" s="8" t="s">
        <v>14</v>
      </c>
      <c r="D7499" s="9">
        <v>0</v>
      </c>
      <c r="E7499" s="8">
        <v>310</v>
      </c>
    </row>
    <row r="7500" s="3" customFormat="1" ht="18.75" spans="1:5">
      <c r="A7500" s="8" t="str">
        <f t="shared" si="131"/>
        <v>250032</v>
      </c>
      <c r="B7500" s="8" t="str">
        <f>"2561408012307"</f>
        <v>2561408012307</v>
      </c>
      <c r="C7500" s="8" t="s">
        <v>14</v>
      </c>
      <c r="D7500" s="9">
        <v>0</v>
      </c>
      <c r="E7500" s="8">
        <v>310</v>
      </c>
    </row>
    <row r="7501" s="3" customFormat="1" ht="18.75" spans="1:5">
      <c r="A7501" s="8" t="str">
        <f t="shared" si="131"/>
        <v>250032</v>
      </c>
      <c r="B7501" s="8" t="str">
        <f>"2561408012308"</f>
        <v>2561408012308</v>
      </c>
      <c r="C7501" s="8" t="s">
        <v>14</v>
      </c>
      <c r="D7501" s="9">
        <v>0</v>
      </c>
      <c r="E7501" s="8">
        <v>310</v>
      </c>
    </row>
    <row r="7502" s="3" customFormat="1" ht="18.75" spans="1:5">
      <c r="A7502" s="8" t="str">
        <f t="shared" si="131"/>
        <v>250032</v>
      </c>
      <c r="B7502" s="8" t="str">
        <f>"2561408012309"</f>
        <v>2561408012309</v>
      </c>
      <c r="C7502" s="8" t="s">
        <v>14</v>
      </c>
      <c r="D7502" s="9">
        <v>0</v>
      </c>
      <c r="E7502" s="8">
        <v>310</v>
      </c>
    </row>
    <row r="7503" s="3" customFormat="1" ht="18.75" spans="1:5">
      <c r="A7503" s="8" t="str">
        <f t="shared" si="131"/>
        <v>250032</v>
      </c>
      <c r="B7503" s="8" t="str">
        <f>"2561408012312"</f>
        <v>2561408012312</v>
      </c>
      <c r="C7503" s="8" t="s">
        <v>14</v>
      </c>
      <c r="D7503" s="9">
        <v>0</v>
      </c>
      <c r="E7503" s="8">
        <v>310</v>
      </c>
    </row>
    <row r="7504" s="3" customFormat="1" ht="18.75" spans="1:5">
      <c r="A7504" s="8" t="str">
        <f t="shared" si="131"/>
        <v>250032</v>
      </c>
      <c r="B7504" s="8" t="str">
        <f>"2561408012313"</f>
        <v>2561408012313</v>
      </c>
      <c r="C7504" s="8" t="s">
        <v>14</v>
      </c>
      <c r="D7504" s="9">
        <v>0</v>
      </c>
      <c r="E7504" s="8">
        <v>310</v>
      </c>
    </row>
    <row r="7505" s="3" customFormat="1" ht="18.75" spans="1:5">
      <c r="A7505" s="8" t="str">
        <f t="shared" si="131"/>
        <v>250032</v>
      </c>
      <c r="B7505" s="8" t="str">
        <f>"2561408012315"</f>
        <v>2561408012315</v>
      </c>
      <c r="C7505" s="8" t="s">
        <v>14</v>
      </c>
      <c r="D7505" s="9">
        <v>0</v>
      </c>
      <c r="E7505" s="8">
        <v>310</v>
      </c>
    </row>
    <row r="7506" s="3" customFormat="1" ht="18.75" spans="1:5">
      <c r="A7506" s="8" t="str">
        <f t="shared" si="131"/>
        <v>250032</v>
      </c>
      <c r="B7506" s="8" t="str">
        <f>"2561408012316"</f>
        <v>2561408012316</v>
      </c>
      <c r="C7506" s="8" t="s">
        <v>14</v>
      </c>
      <c r="D7506" s="9">
        <v>0</v>
      </c>
      <c r="E7506" s="8">
        <v>310</v>
      </c>
    </row>
    <row r="7507" s="3" customFormat="1" ht="18.75" spans="1:5">
      <c r="A7507" s="8" t="str">
        <f t="shared" si="131"/>
        <v>250032</v>
      </c>
      <c r="B7507" s="8" t="str">
        <f>"2561408012317"</f>
        <v>2561408012317</v>
      </c>
      <c r="C7507" s="8" t="s">
        <v>14</v>
      </c>
      <c r="D7507" s="9">
        <v>0</v>
      </c>
      <c r="E7507" s="8">
        <v>310</v>
      </c>
    </row>
    <row r="7508" s="3" customFormat="1" ht="18.75" spans="1:5">
      <c r="A7508" s="8" t="str">
        <f t="shared" si="131"/>
        <v>250032</v>
      </c>
      <c r="B7508" s="8" t="str">
        <f>"2561408012318"</f>
        <v>2561408012318</v>
      </c>
      <c r="C7508" s="8" t="s">
        <v>14</v>
      </c>
      <c r="D7508" s="9">
        <v>0</v>
      </c>
      <c r="E7508" s="8">
        <v>310</v>
      </c>
    </row>
    <row r="7509" s="3" customFormat="1" ht="18.75" spans="1:5">
      <c r="A7509" s="8" t="str">
        <f t="shared" si="131"/>
        <v>250032</v>
      </c>
      <c r="B7509" s="8" t="str">
        <f>"2561408012319"</f>
        <v>2561408012319</v>
      </c>
      <c r="C7509" s="8" t="s">
        <v>14</v>
      </c>
      <c r="D7509" s="9">
        <v>0</v>
      </c>
      <c r="E7509" s="8">
        <v>310</v>
      </c>
    </row>
    <row r="7510" s="3" customFormat="1" ht="18.75" spans="1:5">
      <c r="A7510" s="8" t="str">
        <f t="shared" si="131"/>
        <v>250032</v>
      </c>
      <c r="B7510" s="8" t="str">
        <f>"2561408012330"</f>
        <v>2561408012330</v>
      </c>
      <c r="C7510" s="8" t="s">
        <v>14</v>
      </c>
      <c r="D7510" s="9">
        <v>0</v>
      </c>
      <c r="E7510" s="8">
        <v>310</v>
      </c>
    </row>
    <row r="7511" s="3" customFormat="1" ht="18.75" spans="1:5">
      <c r="A7511" s="8" t="str">
        <f t="shared" si="131"/>
        <v>250032</v>
      </c>
      <c r="B7511" s="8" t="str">
        <f>"2561408012401"</f>
        <v>2561408012401</v>
      </c>
      <c r="C7511" s="8" t="s">
        <v>14</v>
      </c>
      <c r="D7511" s="9">
        <v>0</v>
      </c>
      <c r="E7511" s="8">
        <v>310</v>
      </c>
    </row>
    <row r="7512" s="3" customFormat="1" ht="18.75" spans="1:5">
      <c r="A7512" s="8" t="str">
        <f t="shared" si="131"/>
        <v>250032</v>
      </c>
      <c r="B7512" s="8" t="str">
        <f>"2561408012404"</f>
        <v>2561408012404</v>
      </c>
      <c r="C7512" s="8" t="s">
        <v>14</v>
      </c>
      <c r="D7512" s="9">
        <v>0</v>
      </c>
      <c r="E7512" s="8">
        <v>310</v>
      </c>
    </row>
    <row r="7513" s="3" customFormat="1" ht="18.75" spans="1:5">
      <c r="A7513" s="8" t="str">
        <f t="shared" si="131"/>
        <v>250032</v>
      </c>
      <c r="B7513" s="8" t="str">
        <f>"2561408012405"</f>
        <v>2561408012405</v>
      </c>
      <c r="C7513" s="8" t="s">
        <v>14</v>
      </c>
      <c r="D7513" s="9">
        <v>0</v>
      </c>
      <c r="E7513" s="8">
        <v>310</v>
      </c>
    </row>
    <row r="7514" s="3" customFormat="1" ht="18.75" spans="1:5">
      <c r="A7514" s="8" t="str">
        <f t="shared" si="131"/>
        <v>250032</v>
      </c>
      <c r="B7514" s="8" t="str">
        <f>"2561408012406"</f>
        <v>2561408012406</v>
      </c>
      <c r="C7514" s="8" t="s">
        <v>14</v>
      </c>
      <c r="D7514" s="9">
        <v>0</v>
      </c>
      <c r="E7514" s="8">
        <v>310</v>
      </c>
    </row>
    <row r="7515" s="3" customFormat="1" ht="18.75" spans="1:5">
      <c r="A7515" s="8" t="str">
        <f t="shared" si="131"/>
        <v>250032</v>
      </c>
      <c r="B7515" s="8" t="str">
        <f>"2561408012407"</f>
        <v>2561408012407</v>
      </c>
      <c r="C7515" s="8" t="s">
        <v>14</v>
      </c>
      <c r="D7515" s="9">
        <v>0</v>
      </c>
      <c r="E7515" s="8">
        <v>310</v>
      </c>
    </row>
    <row r="7516" s="3" customFormat="1" ht="18.75" spans="1:5">
      <c r="A7516" s="8" t="str">
        <f t="shared" si="131"/>
        <v>250032</v>
      </c>
      <c r="B7516" s="8" t="str">
        <f>"2561408012409"</f>
        <v>2561408012409</v>
      </c>
      <c r="C7516" s="8" t="s">
        <v>14</v>
      </c>
      <c r="D7516" s="9">
        <v>0</v>
      </c>
      <c r="E7516" s="8">
        <v>310</v>
      </c>
    </row>
    <row r="7517" s="3" customFormat="1" ht="18.75" spans="1:5">
      <c r="A7517" s="8" t="str">
        <f t="shared" si="131"/>
        <v>250032</v>
      </c>
      <c r="B7517" s="8" t="str">
        <f>"2561408012413"</f>
        <v>2561408012413</v>
      </c>
      <c r="C7517" s="8" t="s">
        <v>14</v>
      </c>
      <c r="D7517" s="9">
        <v>0</v>
      </c>
      <c r="E7517" s="8">
        <v>310</v>
      </c>
    </row>
    <row r="7518" s="3" customFormat="1" ht="18.75" spans="1:5">
      <c r="A7518" s="8" t="str">
        <f t="shared" si="131"/>
        <v>250032</v>
      </c>
      <c r="B7518" s="8" t="str">
        <f>"2561408012414"</f>
        <v>2561408012414</v>
      </c>
      <c r="C7518" s="8" t="s">
        <v>14</v>
      </c>
      <c r="D7518" s="9">
        <v>0</v>
      </c>
      <c r="E7518" s="8">
        <v>310</v>
      </c>
    </row>
    <row r="7519" s="3" customFormat="1" ht="18.75" spans="1:5">
      <c r="A7519" s="8" t="str">
        <f t="shared" si="131"/>
        <v>250032</v>
      </c>
      <c r="B7519" s="8" t="str">
        <f>"2561408012415"</f>
        <v>2561408012415</v>
      </c>
      <c r="C7519" s="8" t="s">
        <v>14</v>
      </c>
      <c r="D7519" s="9">
        <v>0</v>
      </c>
      <c r="E7519" s="8">
        <v>310</v>
      </c>
    </row>
    <row r="7520" s="3" customFormat="1" ht="18.75" spans="1:5">
      <c r="A7520" s="8" t="str">
        <f t="shared" si="131"/>
        <v>250032</v>
      </c>
      <c r="B7520" s="8" t="str">
        <f>"2561408012417"</f>
        <v>2561408012417</v>
      </c>
      <c r="C7520" s="8" t="s">
        <v>14</v>
      </c>
      <c r="D7520" s="9">
        <v>0</v>
      </c>
      <c r="E7520" s="8">
        <v>310</v>
      </c>
    </row>
    <row r="7521" s="3" customFormat="1" ht="18.75" spans="1:5">
      <c r="A7521" s="8" t="str">
        <f t="shared" si="131"/>
        <v>250032</v>
      </c>
      <c r="B7521" s="8" t="str">
        <f>"2561408012418"</f>
        <v>2561408012418</v>
      </c>
      <c r="C7521" s="8" t="s">
        <v>14</v>
      </c>
      <c r="D7521" s="9">
        <v>0</v>
      </c>
      <c r="E7521" s="8">
        <v>310</v>
      </c>
    </row>
    <row r="7522" s="3" customFormat="1" ht="18.75" spans="1:5">
      <c r="A7522" s="8" t="str">
        <f t="shared" si="131"/>
        <v>250032</v>
      </c>
      <c r="B7522" s="8" t="str">
        <f>"2561408012430"</f>
        <v>2561408012430</v>
      </c>
      <c r="C7522" s="8" t="s">
        <v>14</v>
      </c>
      <c r="D7522" s="9">
        <v>0</v>
      </c>
      <c r="E7522" s="8">
        <v>310</v>
      </c>
    </row>
    <row r="7523" s="3" customFormat="1" ht="18.75" spans="1:5">
      <c r="A7523" s="8" t="str">
        <f t="shared" si="131"/>
        <v>250032</v>
      </c>
      <c r="B7523" s="8" t="str">
        <f>"2561408012501"</f>
        <v>2561408012501</v>
      </c>
      <c r="C7523" s="8" t="s">
        <v>14</v>
      </c>
      <c r="D7523" s="9">
        <v>0</v>
      </c>
      <c r="E7523" s="8">
        <v>310</v>
      </c>
    </row>
    <row r="7524" s="3" customFormat="1" ht="18.75" spans="1:5">
      <c r="A7524" s="8" t="str">
        <f t="shared" si="131"/>
        <v>250032</v>
      </c>
      <c r="B7524" s="8" t="str">
        <f>"2561408012504"</f>
        <v>2561408012504</v>
      </c>
      <c r="C7524" s="8" t="s">
        <v>14</v>
      </c>
      <c r="D7524" s="9">
        <v>0</v>
      </c>
      <c r="E7524" s="8">
        <v>310</v>
      </c>
    </row>
    <row r="7525" s="3" customFormat="1" ht="18.75" spans="1:5">
      <c r="A7525" s="8" t="str">
        <f t="shared" si="131"/>
        <v>250032</v>
      </c>
      <c r="B7525" s="8" t="str">
        <f>"2561408012506"</f>
        <v>2561408012506</v>
      </c>
      <c r="C7525" s="8" t="s">
        <v>14</v>
      </c>
      <c r="D7525" s="9">
        <v>0</v>
      </c>
      <c r="E7525" s="8">
        <v>310</v>
      </c>
    </row>
    <row r="7526" s="3" customFormat="1" ht="18.75" spans="1:5">
      <c r="A7526" s="8" t="str">
        <f t="shared" si="131"/>
        <v>250032</v>
      </c>
      <c r="B7526" s="8" t="str">
        <f>"2561408012509"</f>
        <v>2561408012509</v>
      </c>
      <c r="C7526" s="8" t="s">
        <v>14</v>
      </c>
      <c r="D7526" s="9">
        <v>0</v>
      </c>
      <c r="E7526" s="8">
        <v>310</v>
      </c>
    </row>
    <row r="7527" s="3" customFormat="1" ht="18.75" spans="1:5">
      <c r="A7527" s="8" t="str">
        <f t="shared" si="131"/>
        <v>250032</v>
      </c>
      <c r="B7527" s="8" t="str">
        <f>"2561408012511"</f>
        <v>2561408012511</v>
      </c>
      <c r="C7527" s="8" t="s">
        <v>14</v>
      </c>
      <c r="D7527" s="9">
        <v>0</v>
      </c>
      <c r="E7527" s="8">
        <v>310</v>
      </c>
    </row>
    <row r="7528" s="3" customFormat="1" ht="18.75" spans="1:5">
      <c r="A7528" s="8" t="str">
        <f t="shared" si="131"/>
        <v>250032</v>
      </c>
      <c r="B7528" s="8" t="str">
        <f>"2561408012512"</f>
        <v>2561408012512</v>
      </c>
      <c r="C7528" s="8" t="s">
        <v>14</v>
      </c>
      <c r="D7528" s="9">
        <v>0</v>
      </c>
      <c r="E7528" s="8">
        <v>310</v>
      </c>
    </row>
    <row r="7529" s="3" customFormat="1" ht="18.75" spans="1:5">
      <c r="A7529" s="8" t="str">
        <f t="shared" si="131"/>
        <v>250032</v>
      </c>
      <c r="B7529" s="8" t="str">
        <f>"2561408012513"</f>
        <v>2561408012513</v>
      </c>
      <c r="C7529" s="8" t="s">
        <v>14</v>
      </c>
      <c r="D7529" s="9">
        <v>0</v>
      </c>
      <c r="E7529" s="8">
        <v>310</v>
      </c>
    </row>
    <row r="7530" s="3" customFormat="1" ht="18.75" spans="1:5">
      <c r="A7530" s="8" t="str">
        <f t="shared" si="131"/>
        <v>250032</v>
      </c>
      <c r="B7530" s="8" t="str">
        <f>"2561408012514"</f>
        <v>2561408012514</v>
      </c>
      <c r="C7530" s="8" t="s">
        <v>14</v>
      </c>
      <c r="D7530" s="9">
        <v>0</v>
      </c>
      <c r="E7530" s="8">
        <v>310</v>
      </c>
    </row>
    <row r="7531" s="3" customFormat="1" ht="18.75" spans="1:5">
      <c r="A7531" s="8" t="str">
        <f t="shared" ref="A7531:A7594" si="132">"250032"</f>
        <v>250032</v>
      </c>
      <c r="B7531" s="8" t="str">
        <f>"2561408012515"</f>
        <v>2561408012515</v>
      </c>
      <c r="C7531" s="8" t="s">
        <v>14</v>
      </c>
      <c r="D7531" s="9">
        <v>0</v>
      </c>
      <c r="E7531" s="8">
        <v>310</v>
      </c>
    </row>
    <row r="7532" s="3" customFormat="1" ht="18.75" spans="1:5">
      <c r="A7532" s="8" t="str">
        <f t="shared" si="132"/>
        <v>250032</v>
      </c>
      <c r="B7532" s="8" t="str">
        <f>"2561408012517"</f>
        <v>2561408012517</v>
      </c>
      <c r="C7532" s="8" t="s">
        <v>14</v>
      </c>
      <c r="D7532" s="9">
        <v>0</v>
      </c>
      <c r="E7532" s="8">
        <v>310</v>
      </c>
    </row>
    <row r="7533" s="3" customFormat="1" ht="18.75" spans="1:5">
      <c r="A7533" s="8" t="str">
        <f t="shared" si="132"/>
        <v>250032</v>
      </c>
      <c r="B7533" s="8" t="str">
        <f>"2561408012518"</f>
        <v>2561408012518</v>
      </c>
      <c r="C7533" s="8" t="s">
        <v>14</v>
      </c>
      <c r="D7533" s="9">
        <v>0</v>
      </c>
      <c r="E7533" s="8">
        <v>310</v>
      </c>
    </row>
    <row r="7534" s="3" customFormat="1" ht="18.75" spans="1:5">
      <c r="A7534" s="8" t="str">
        <f t="shared" si="132"/>
        <v>250032</v>
      </c>
      <c r="B7534" s="8" t="str">
        <f>"2561408012519"</f>
        <v>2561408012519</v>
      </c>
      <c r="C7534" s="8" t="s">
        <v>14</v>
      </c>
      <c r="D7534" s="9">
        <v>0</v>
      </c>
      <c r="E7534" s="8">
        <v>310</v>
      </c>
    </row>
    <row r="7535" s="3" customFormat="1" ht="18.75" spans="1:5">
      <c r="A7535" s="8" t="str">
        <f t="shared" si="132"/>
        <v>250032</v>
      </c>
      <c r="B7535" s="8" t="str">
        <f>"2561408012521"</f>
        <v>2561408012521</v>
      </c>
      <c r="C7535" s="8" t="s">
        <v>14</v>
      </c>
      <c r="D7535" s="9">
        <v>0</v>
      </c>
      <c r="E7535" s="8">
        <v>310</v>
      </c>
    </row>
    <row r="7536" s="3" customFormat="1" ht="18.75" spans="1:5">
      <c r="A7536" s="8" t="str">
        <f t="shared" si="132"/>
        <v>250032</v>
      </c>
      <c r="B7536" s="8" t="str">
        <f>"2561408012525"</f>
        <v>2561408012525</v>
      </c>
      <c r="C7536" s="8" t="s">
        <v>14</v>
      </c>
      <c r="D7536" s="9">
        <v>0</v>
      </c>
      <c r="E7536" s="8">
        <v>310</v>
      </c>
    </row>
    <row r="7537" s="3" customFormat="1" ht="18.75" spans="1:5">
      <c r="A7537" s="8" t="str">
        <f t="shared" si="132"/>
        <v>250032</v>
      </c>
      <c r="B7537" s="8" t="str">
        <f>"2561408012528"</f>
        <v>2561408012528</v>
      </c>
      <c r="C7537" s="8" t="s">
        <v>14</v>
      </c>
      <c r="D7537" s="9">
        <v>0</v>
      </c>
      <c r="E7537" s="8">
        <v>310</v>
      </c>
    </row>
    <row r="7538" s="3" customFormat="1" ht="18.75" spans="1:5">
      <c r="A7538" s="8" t="str">
        <f t="shared" si="132"/>
        <v>250032</v>
      </c>
      <c r="B7538" s="8" t="str">
        <f>"2561408012601"</f>
        <v>2561408012601</v>
      </c>
      <c r="C7538" s="8" t="s">
        <v>14</v>
      </c>
      <c r="D7538" s="9">
        <v>0</v>
      </c>
      <c r="E7538" s="8">
        <v>310</v>
      </c>
    </row>
    <row r="7539" s="3" customFormat="1" ht="18.75" spans="1:5">
      <c r="A7539" s="8" t="str">
        <f t="shared" si="132"/>
        <v>250032</v>
      </c>
      <c r="B7539" s="8" t="str">
        <f>"2561408012603"</f>
        <v>2561408012603</v>
      </c>
      <c r="C7539" s="8" t="s">
        <v>14</v>
      </c>
      <c r="D7539" s="9">
        <v>0</v>
      </c>
      <c r="E7539" s="8">
        <v>310</v>
      </c>
    </row>
    <row r="7540" s="3" customFormat="1" ht="18.75" spans="1:5">
      <c r="A7540" s="8" t="str">
        <f t="shared" si="132"/>
        <v>250032</v>
      </c>
      <c r="B7540" s="8" t="str">
        <f>"2561408012604"</f>
        <v>2561408012604</v>
      </c>
      <c r="C7540" s="8" t="s">
        <v>14</v>
      </c>
      <c r="D7540" s="9">
        <v>0</v>
      </c>
      <c r="E7540" s="8">
        <v>310</v>
      </c>
    </row>
    <row r="7541" s="3" customFormat="1" ht="18.75" spans="1:5">
      <c r="A7541" s="8" t="str">
        <f t="shared" si="132"/>
        <v>250032</v>
      </c>
      <c r="B7541" s="8" t="str">
        <f>"2561408012606"</f>
        <v>2561408012606</v>
      </c>
      <c r="C7541" s="8" t="s">
        <v>14</v>
      </c>
      <c r="D7541" s="9">
        <v>0</v>
      </c>
      <c r="E7541" s="8">
        <v>310</v>
      </c>
    </row>
    <row r="7542" s="3" customFormat="1" ht="18.75" spans="1:5">
      <c r="A7542" s="8" t="str">
        <f t="shared" si="132"/>
        <v>250032</v>
      </c>
      <c r="B7542" s="8" t="str">
        <f>"2561408012607"</f>
        <v>2561408012607</v>
      </c>
      <c r="C7542" s="8" t="s">
        <v>14</v>
      </c>
      <c r="D7542" s="9">
        <v>0</v>
      </c>
      <c r="E7542" s="8">
        <v>310</v>
      </c>
    </row>
    <row r="7543" s="3" customFormat="1" ht="18.75" spans="1:5">
      <c r="A7543" s="8" t="str">
        <f t="shared" si="132"/>
        <v>250032</v>
      </c>
      <c r="B7543" s="8" t="str">
        <f>"2561408012608"</f>
        <v>2561408012608</v>
      </c>
      <c r="C7543" s="8" t="s">
        <v>14</v>
      </c>
      <c r="D7543" s="9">
        <v>0</v>
      </c>
      <c r="E7543" s="8">
        <v>310</v>
      </c>
    </row>
    <row r="7544" s="3" customFormat="1" ht="18.75" spans="1:5">
      <c r="A7544" s="8" t="str">
        <f t="shared" si="132"/>
        <v>250032</v>
      </c>
      <c r="B7544" s="8" t="str">
        <f>"2561408012610"</f>
        <v>2561408012610</v>
      </c>
      <c r="C7544" s="8" t="s">
        <v>14</v>
      </c>
      <c r="D7544" s="9">
        <v>0</v>
      </c>
      <c r="E7544" s="8">
        <v>310</v>
      </c>
    </row>
    <row r="7545" s="3" customFormat="1" ht="18.75" spans="1:5">
      <c r="A7545" s="8" t="str">
        <f t="shared" si="132"/>
        <v>250032</v>
      </c>
      <c r="B7545" s="8" t="str">
        <f>"2561408012611"</f>
        <v>2561408012611</v>
      </c>
      <c r="C7545" s="8" t="s">
        <v>14</v>
      </c>
      <c r="D7545" s="9">
        <v>0</v>
      </c>
      <c r="E7545" s="8">
        <v>310</v>
      </c>
    </row>
    <row r="7546" s="3" customFormat="1" ht="18.75" spans="1:5">
      <c r="A7546" s="8" t="str">
        <f t="shared" si="132"/>
        <v>250032</v>
      </c>
      <c r="B7546" s="8" t="str">
        <f>"2561408012613"</f>
        <v>2561408012613</v>
      </c>
      <c r="C7546" s="8" t="s">
        <v>14</v>
      </c>
      <c r="D7546" s="9">
        <v>0</v>
      </c>
      <c r="E7546" s="8">
        <v>310</v>
      </c>
    </row>
    <row r="7547" s="3" customFormat="1" ht="18.75" spans="1:5">
      <c r="A7547" s="8" t="str">
        <f t="shared" si="132"/>
        <v>250032</v>
      </c>
      <c r="B7547" s="8" t="str">
        <f>"2561408012614"</f>
        <v>2561408012614</v>
      </c>
      <c r="C7547" s="8" t="s">
        <v>14</v>
      </c>
      <c r="D7547" s="9">
        <v>0</v>
      </c>
      <c r="E7547" s="8">
        <v>310</v>
      </c>
    </row>
    <row r="7548" s="3" customFormat="1" ht="18.75" spans="1:5">
      <c r="A7548" s="8" t="str">
        <f t="shared" si="132"/>
        <v>250032</v>
      </c>
      <c r="B7548" s="8" t="str">
        <f>"2561408012619"</f>
        <v>2561408012619</v>
      </c>
      <c r="C7548" s="8" t="s">
        <v>14</v>
      </c>
      <c r="D7548" s="9">
        <v>0</v>
      </c>
      <c r="E7548" s="8">
        <v>310</v>
      </c>
    </row>
    <row r="7549" s="3" customFormat="1" ht="18.75" spans="1:5">
      <c r="A7549" s="8" t="str">
        <f t="shared" si="132"/>
        <v>250032</v>
      </c>
      <c r="B7549" s="8" t="str">
        <f>"2561408012620"</f>
        <v>2561408012620</v>
      </c>
      <c r="C7549" s="8" t="s">
        <v>14</v>
      </c>
      <c r="D7549" s="9">
        <v>0</v>
      </c>
      <c r="E7549" s="8">
        <v>310</v>
      </c>
    </row>
    <row r="7550" s="3" customFormat="1" ht="18.75" spans="1:5">
      <c r="A7550" s="8" t="str">
        <f t="shared" si="132"/>
        <v>250032</v>
      </c>
      <c r="B7550" s="8" t="str">
        <f>"2561408012623"</f>
        <v>2561408012623</v>
      </c>
      <c r="C7550" s="8" t="s">
        <v>14</v>
      </c>
      <c r="D7550" s="9">
        <v>0</v>
      </c>
      <c r="E7550" s="8">
        <v>310</v>
      </c>
    </row>
    <row r="7551" s="3" customFormat="1" ht="18.75" spans="1:5">
      <c r="A7551" s="8" t="str">
        <f t="shared" si="132"/>
        <v>250032</v>
      </c>
      <c r="B7551" s="8" t="str">
        <f>"2561408012624"</f>
        <v>2561408012624</v>
      </c>
      <c r="C7551" s="8" t="s">
        <v>14</v>
      </c>
      <c r="D7551" s="9">
        <v>0</v>
      </c>
      <c r="E7551" s="8">
        <v>310</v>
      </c>
    </row>
    <row r="7552" s="3" customFormat="1" ht="18.75" spans="1:5">
      <c r="A7552" s="8" t="str">
        <f t="shared" si="132"/>
        <v>250032</v>
      </c>
      <c r="B7552" s="8" t="str">
        <f>"2561408012625"</f>
        <v>2561408012625</v>
      </c>
      <c r="C7552" s="8" t="s">
        <v>14</v>
      </c>
      <c r="D7552" s="9">
        <v>0</v>
      </c>
      <c r="E7552" s="8">
        <v>310</v>
      </c>
    </row>
    <row r="7553" s="3" customFormat="1" ht="18.75" spans="1:5">
      <c r="A7553" s="8" t="str">
        <f t="shared" si="132"/>
        <v>250032</v>
      </c>
      <c r="B7553" s="8" t="str">
        <f>"2561408012626"</f>
        <v>2561408012626</v>
      </c>
      <c r="C7553" s="8" t="s">
        <v>14</v>
      </c>
      <c r="D7553" s="9">
        <v>0</v>
      </c>
      <c r="E7553" s="8">
        <v>310</v>
      </c>
    </row>
    <row r="7554" s="3" customFormat="1" ht="18.75" spans="1:5">
      <c r="A7554" s="8" t="str">
        <f t="shared" si="132"/>
        <v>250032</v>
      </c>
      <c r="B7554" s="8" t="str">
        <f>"2561408012629"</f>
        <v>2561408012629</v>
      </c>
      <c r="C7554" s="8" t="s">
        <v>14</v>
      </c>
      <c r="D7554" s="9">
        <v>0</v>
      </c>
      <c r="E7554" s="8">
        <v>310</v>
      </c>
    </row>
    <row r="7555" s="3" customFormat="1" ht="18.75" spans="1:5">
      <c r="A7555" s="8" t="str">
        <f t="shared" si="132"/>
        <v>250032</v>
      </c>
      <c r="B7555" s="8" t="str">
        <f>"2561408012705"</f>
        <v>2561408012705</v>
      </c>
      <c r="C7555" s="8" t="s">
        <v>14</v>
      </c>
      <c r="D7555" s="9">
        <v>0</v>
      </c>
      <c r="E7555" s="8">
        <v>310</v>
      </c>
    </row>
    <row r="7556" s="3" customFormat="1" ht="18.75" spans="1:5">
      <c r="A7556" s="8" t="str">
        <f t="shared" si="132"/>
        <v>250032</v>
      </c>
      <c r="B7556" s="8" t="str">
        <f>"2561408012706"</f>
        <v>2561408012706</v>
      </c>
      <c r="C7556" s="8" t="s">
        <v>14</v>
      </c>
      <c r="D7556" s="9">
        <v>0</v>
      </c>
      <c r="E7556" s="8">
        <v>310</v>
      </c>
    </row>
    <row r="7557" s="3" customFormat="1" ht="18.75" spans="1:5">
      <c r="A7557" s="8" t="str">
        <f t="shared" si="132"/>
        <v>250032</v>
      </c>
      <c r="B7557" s="8" t="str">
        <f>"2561408012709"</f>
        <v>2561408012709</v>
      </c>
      <c r="C7557" s="8" t="s">
        <v>14</v>
      </c>
      <c r="D7557" s="9">
        <v>0</v>
      </c>
      <c r="E7557" s="8">
        <v>310</v>
      </c>
    </row>
    <row r="7558" s="3" customFormat="1" ht="18.75" spans="1:5">
      <c r="A7558" s="8" t="str">
        <f t="shared" si="132"/>
        <v>250032</v>
      </c>
      <c r="B7558" s="8" t="str">
        <f>"2561408012712"</f>
        <v>2561408012712</v>
      </c>
      <c r="C7558" s="8" t="s">
        <v>14</v>
      </c>
      <c r="D7558" s="9">
        <v>0</v>
      </c>
      <c r="E7558" s="8">
        <v>310</v>
      </c>
    </row>
    <row r="7559" s="3" customFormat="1" ht="18.75" spans="1:5">
      <c r="A7559" s="8" t="str">
        <f t="shared" si="132"/>
        <v>250032</v>
      </c>
      <c r="B7559" s="8" t="str">
        <f>"2561408012713"</f>
        <v>2561408012713</v>
      </c>
      <c r="C7559" s="8" t="s">
        <v>14</v>
      </c>
      <c r="D7559" s="9">
        <v>0</v>
      </c>
      <c r="E7559" s="8">
        <v>310</v>
      </c>
    </row>
    <row r="7560" s="3" customFormat="1" ht="18.75" spans="1:5">
      <c r="A7560" s="8" t="str">
        <f t="shared" si="132"/>
        <v>250032</v>
      </c>
      <c r="B7560" s="8" t="str">
        <f>"2561408012717"</f>
        <v>2561408012717</v>
      </c>
      <c r="C7560" s="8" t="s">
        <v>14</v>
      </c>
      <c r="D7560" s="9">
        <v>0</v>
      </c>
      <c r="E7560" s="8">
        <v>310</v>
      </c>
    </row>
    <row r="7561" s="3" customFormat="1" ht="18.75" spans="1:5">
      <c r="A7561" s="8" t="str">
        <f t="shared" si="132"/>
        <v>250032</v>
      </c>
      <c r="B7561" s="8" t="str">
        <f>"2561408012720"</f>
        <v>2561408012720</v>
      </c>
      <c r="C7561" s="8" t="s">
        <v>14</v>
      </c>
      <c r="D7561" s="9">
        <v>0</v>
      </c>
      <c r="E7561" s="8">
        <v>310</v>
      </c>
    </row>
    <row r="7562" s="3" customFormat="1" ht="18.75" spans="1:5">
      <c r="A7562" s="8" t="str">
        <f t="shared" si="132"/>
        <v>250032</v>
      </c>
      <c r="B7562" s="8" t="str">
        <f>"2561408012802"</f>
        <v>2561408012802</v>
      </c>
      <c r="C7562" s="8" t="s">
        <v>14</v>
      </c>
      <c r="D7562" s="9">
        <v>0</v>
      </c>
      <c r="E7562" s="8">
        <v>310</v>
      </c>
    </row>
    <row r="7563" s="3" customFormat="1" ht="18.75" spans="1:5">
      <c r="A7563" s="8" t="str">
        <f t="shared" si="132"/>
        <v>250032</v>
      </c>
      <c r="B7563" s="8" t="str">
        <f>"2561408012803"</f>
        <v>2561408012803</v>
      </c>
      <c r="C7563" s="8" t="s">
        <v>14</v>
      </c>
      <c r="D7563" s="9">
        <v>0</v>
      </c>
      <c r="E7563" s="8">
        <v>310</v>
      </c>
    </row>
    <row r="7564" s="3" customFormat="1" ht="18.75" spans="1:5">
      <c r="A7564" s="8" t="str">
        <f t="shared" si="132"/>
        <v>250032</v>
      </c>
      <c r="B7564" s="8" t="str">
        <f>"2561408012804"</f>
        <v>2561408012804</v>
      </c>
      <c r="C7564" s="8" t="s">
        <v>14</v>
      </c>
      <c r="D7564" s="9">
        <v>0</v>
      </c>
      <c r="E7564" s="8">
        <v>310</v>
      </c>
    </row>
    <row r="7565" s="3" customFormat="1" ht="18.75" spans="1:5">
      <c r="A7565" s="8" t="str">
        <f t="shared" si="132"/>
        <v>250032</v>
      </c>
      <c r="B7565" s="8" t="str">
        <f>"2561408012809"</f>
        <v>2561408012809</v>
      </c>
      <c r="C7565" s="8" t="s">
        <v>14</v>
      </c>
      <c r="D7565" s="9">
        <v>0</v>
      </c>
      <c r="E7565" s="8">
        <v>310</v>
      </c>
    </row>
    <row r="7566" s="3" customFormat="1" ht="18.75" spans="1:5">
      <c r="A7566" s="8" t="str">
        <f t="shared" si="132"/>
        <v>250032</v>
      </c>
      <c r="B7566" s="8" t="str">
        <f>"2561408012812"</f>
        <v>2561408012812</v>
      </c>
      <c r="C7566" s="8" t="s">
        <v>14</v>
      </c>
      <c r="D7566" s="9">
        <v>0</v>
      </c>
      <c r="E7566" s="8">
        <v>310</v>
      </c>
    </row>
    <row r="7567" s="3" customFormat="1" ht="18.75" spans="1:5">
      <c r="A7567" s="8" t="str">
        <f t="shared" si="132"/>
        <v>250032</v>
      </c>
      <c r="B7567" s="8" t="str">
        <f>"2561408012814"</f>
        <v>2561408012814</v>
      </c>
      <c r="C7567" s="8" t="s">
        <v>14</v>
      </c>
      <c r="D7567" s="9">
        <v>0</v>
      </c>
      <c r="E7567" s="8">
        <v>310</v>
      </c>
    </row>
    <row r="7568" s="3" customFormat="1" ht="18.75" spans="1:5">
      <c r="A7568" s="8" t="str">
        <f t="shared" si="132"/>
        <v>250032</v>
      </c>
      <c r="B7568" s="8" t="str">
        <f>"2561408012817"</f>
        <v>2561408012817</v>
      </c>
      <c r="C7568" s="8" t="s">
        <v>14</v>
      </c>
      <c r="D7568" s="9">
        <v>0</v>
      </c>
      <c r="E7568" s="8">
        <v>310</v>
      </c>
    </row>
    <row r="7569" s="3" customFormat="1" ht="18.75" spans="1:5">
      <c r="A7569" s="8" t="str">
        <f t="shared" si="132"/>
        <v>250032</v>
      </c>
      <c r="B7569" s="8" t="str">
        <f>"2561408012818"</f>
        <v>2561408012818</v>
      </c>
      <c r="C7569" s="8" t="s">
        <v>14</v>
      </c>
      <c r="D7569" s="9">
        <v>0</v>
      </c>
      <c r="E7569" s="8">
        <v>310</v>
      </c>
    </row>
    <row r="7570" s="3" customFormat="1" ht="18.75" spans="1:5">
      <c r="A7570" s="8" t="str">
        <f t="shared" si="132"/>
        <v>250032</v>
      </c>
      <c r="B7570" s="8" t="str">
        <f>"2561408012821"</f>
        <v>2561408012821</v>
      </c>
      <c r="C7570" s="8" t="s">
        <v>14</v>
      </c>
      <c r="D7570" s="9">
        <v>0</v>
      </c>
      <c r="E7570" s="8">
        <v>310</v>
      </c>
    </row>
    <row r="7571" s="3" customFormat="1" ht="18.75" spans="1:5">
      <c r="A7571" s="8" t="str">
        <f t="shared" si="132"/>
        <v>250032</v>
      </c>
      <c r="B7571" s="8" t="str">
        <f>"2561408012826"</f>
        <v>2561408012826</v>
      </c>
      <c r="C7571" s="8" t="s">
        <v>14</v>
      </c>
      <c r="D7571" s="9">
        <v>0</v>
      </c>
      <c r="E7571" s="8">
        <v>310</v>
      </c>
    </row>
    <row r="7572" s="3" customFormat="1" ht="18.75" spans="1:5">
      <c r="A7572" s="8" t="str">
        <f t="shared" si="132"/>
        <v>250032</v>
      </c>
      <c r="B7572" s="8" t="str">
        <f>"2561408012901"</f>
        <v>2561408012901</v>
      </c>
      <c r="C7572" s="8" t="s">
        <v>14</v>
      </c>
      <c r="D7572" s="9">
        <v>0</v>
      </c>
      <c r="E7572" s="8">
        <v>310</v>
      </c>
    </row>
    <row r="7573" s="3" customFormat="1" ht="18.75" spans="1:5">
      <c r="A7573" s="8" t="str">
        <f t="shared" si="132"/>
        <v>250032</v>
      </c>
      <c r="B7573" s="8" t="str">
        <f>"2561408012904"</f>
        <v>2561408012904</v>
      </c>
      <c r="C7573" s="8" t="s">
        <v>14</v>
      </c>
      <c r="D7573" s="9">
        <v>0</v>
      </c>
      <c r="E7573" s="8">
        <v>310</v>
      </c>
    </row>
    <row r="7574" s="3" customFormat="1" ht="18.75" spans="1:5">
      <c r="A7574" s="8" t="str">
        <f t="shared" si="132"/>
        <v>250032</v>
      </c>
      <c r="B7574" s="8" t="str">
        <f>"2561408012906"</f>
        <v>2561408012906</v>
      </c>
      <c r="C7574" s="8" t="s">
        <v>14</v>
      </c>
      <c r="D7574" s="9">
        <v>0</v>
      </c>
      <c r="E7574" s="8">
        <v>310</v>
      </c>
    </row>
    <row r="7575" s="3" customFormat="1" ht="18.75" spans="1:5">
      <c r="A7575" s="8" t="str">
        <f t="shared" si="132"/>
        <v>250032</v>
      </c>
      <c r="B7575" s="8" t="str">
        <f>"2561408012907"</f>
        <v>2561408012907</v>
      </c>
      <c r="C7575" s="8" t="s">
        <v>14</v>
      </c>
      <c r="D7575" s="9">
        <v>0</v>
      </c>
      <c r="E7575" s="8">
        <v>310</v>
      </c>
    </row>
    <row r="7576" s="3" customFormat="1" ht="18.75" spans="1:5">
      <c r="A7576" s="8" t="str">
        <f t="shared" si="132"/>
        <v>250032</v>
      </c>
      <c r="B7576" s="8" t="str">
        <f>"2561408012911"</f>
        <v>2561408012911</v>
      </c>
      <c r="C7576" s="8" t="s">
        <v>14</v>
      </c>
      <c r="D7576" s="9">
        <v>0</v>
      </c>
      <c r="E7576" s="8">
        <v>310</v>
      </c>
    </row>
    <row r="7577" s="3" customFormat="1" ht="18.75" spans="1:5">
      <c r="A7577" s="8" t="str">
        <f t="shared" si="132"/>
        <v>250032</v>
      </c>
      <c r="B7577" s="8" t="str">
        <f>"2561408012912"</f>
        <v>2561408012912</v>
      </c>
      <c r="C7577" s="8" t="s">
        <v>14</v>
      </c>
      <c r="D7577" s="9">
        <v>0</v>
      </c>
      <c r="E7577" s="8">
        <v>310</v>
      </c>
    </row>
    <row r="7578" s="3" customFormat="1" ht="18.75" spans="1:5">
      <c r="A7578" s="8" t="str">
        <f t="shared" si="132"/>
        <v>250032</v>
      </c>
      <c r="B7578" s="8" t="str">
        <f>"2561408012913"</f>
        <v>2561408012913</v>
      </c>
      <c r="C7578" s="8" t="s">
        <v>14</v>
      </c>
      <c r="D7578" s="9">
        <v>0</v>
      </c>
      <c r="E7578" s="8">
        <v>310</v>
      </c>
    </row>
    <row r="7579" s="3" customFormat="1" ht="18.75" spans="1:5">
      <c r="A7579" s="8" t="str">
        <f t="shared" si="132"/>
        <v>250032</v>
      </c>
      <c r="B7579" s="8" t="str">
        <f>"2561408012914"</f>
        <v>2561408012914</v>
      </c>
      <c r="C7579" s="8" t="s">
        <v>14</v>
      </c>
      <c r="D7579" s="9">
        <v>0</v>
      </c>
      <c r="E7579" s="8">
        <v>310</v>
      </c>
    </row>
    <row r="7580" s="3" customFormat="1" ht="18.75" spans="1:5">
      <c r="A7580" s="8" t="str">
        <f t="shared" si="132"/>
        <v>250032</v>
      </c>
      <c r="B7580" s="8" t="str">
        <f>"2561408012916"</f>
        <v>2561408012916</v>
      </c>
      <c r="C7580" s="8" t="s">
        <v>14</v>
      </c>
      <c r="D7580" s="9">
        <v>0</v>
      </c>
      <c r="E7580" s="8">
        <v>310</v>
      </c>
    </row>
    <row r="7581" s="3" customFormat="1" ht="18.75" spans="1:5">
      <c r="A7581" s="8" t="str">
        <f t="shared" si="132"/>
        <v>250032</v>
      </c>
      <c r="B7581" s="8" t="str">
        <f>"2561408012917"</f>
        <v>2561408012917</v>
      </c>
      <c r="C7581" s="8" t="s">
        <v>14</v>
      </c>
      <c r="D7581" s="9">
        <v>0</v>
      </c>
      <c r="E7581" s="8">
        <v>310</v>
      </c>
    </row>
    <row r="7582" s="3" customFormat="1" ht="18.75" spans="1:5">
      <c r="A7582" s="8" t="str">
        <f t="shared" si="132"/>
        <v>250032</v>
      </c>
      <c r="B7582" s="8" t="str">
        <f>"2561408012920"</f>
        <v>2561408012920</v>
      </c>
      <c r="C7582" s="8" t="s">
        <v>14</v>
      </c>
      <c r="D7582" s="9">
        <v>0</v>
      </c>
      <c r="E7582" s="8">
        <v>310</v>
      </c>
    </row>
    <row r="7583" s="3" customFormat="1" ht="18.75" spans="1:5">
      <c r="A7583" s="8" t="str">
        <f t="shared" si="132"/>
        <v>250032</v>
      </c>
      <c r="B7583" s="8" t="str">
        <f>"2561408012923"</f>
        <v>2561408012923</v>
      </c>
      <c r="C7583" s="8" t="s">
        <v>14</v>
      </c>
      <c r="D7583" s="9">
        <v>0</v>
      </c>
      <c r="E7583" s="8">
        <v>310</v>
      </c>
    </row>
    <row r="7584" s="3" customFormat="1" ht="18.75" spans="1:5">
      <c r="A7584" s="8" t="str">
        <f t="shared" si="132"/>
        <v>250032</v>
      </c>
      <c r="B7584" s="8" t="str">
        <f>"2561408012925"</f>
        <v>2561408012925</v>
      </c>
      <c r="C7584" s="8" t="s">
        <v>14</v>
      </c>
      <c r="D7584" s="9">
        <v>0</v>
      </c>
      <c r="E7584" s="8">
        <v>310</v>
      </c>
    </row>
    <row r="7585" s="3" customFormat="1" ht="18.75" spans="1:5">
      <c r="A7585" s="8" t="str">
        <f t="shared" si="132"/>
        <v>250032</v>
      </c>
      <c r="B7585" s="8" t="str">
        <f>"2561408012926"</f>
        <v>2561408012926</v>
      </c>
      <c r="C7585" s="8" t="s">
        <v>14</v>
      </c>
      <c r="D7585" s="9">
        <v>0</v>
      </c>
      <c r="E7585" s="8">
        <v>310</v>
      </c>
    </row>
    <row r="7586" s="3" customFormat="1" ht="18.75" spans="1:5">
      <c r="A7586" s="8" t="str">
        <f t="shared" si="132"/>
        <v>250032</v>
      </c>
      <c r="B7586" s="8" t="str">
        <f>"2561408012927"</f>
        <v>2561408012927</v>
      </c>
      <c r="C7586" s="8" t="s">
        <v>14</v>
      </c>
      <c r="D7586" s="9">
        <v>0</v>
      </c>
      <c r="E7586" s="8">
        <v>310</v>
      </c>
    </row>
    <row r="7587" s="3" customFormat="1" ht="18.75" spans="1:5">
      <c r="A7587" s="8" t="str">
        <f t="shared" si="132"/>
        <v>250032</v>
      </c>
      <c r="B7587" s="8" t="str">
        <f>"2561408012928"</f>
        <v>2561408012928</v>
      </c>
      <c r="C7587" s="8" t="s">
        <v>14</v>
      </c>
      <c r="D7587" s="9">
        <v>0</v>
      </c>
      <c r="E7587" s="8">
        <v>310</v>
      </c>
    </row>
    <row r="7588" s="3" customFormat="1" ht="18.75" spans="1:5">
      <c r="A7588" s="8" t="str">
        <f t="shared" si="132"/>
        <v>250032</v>
      </c>
      <c r="B7588" s="8" t="str">
        <f>"2561408012929"</f>
        <v>2561408012929</v>
      </c>
      <c r="C7588" s="8" t="s">
        <v>14</v>
      </c>
      <c r="D7588" s="9">
        <v>0</v>
      </c>
      <c r="E7588" s="8">
        <v>310</v>
      </c>
    </row>
    <row r="7589" s="3" customFormat="1" ht="18.75" spans="1:5">
      <c r="A7589" s="8" t="str">
        <f t="shared" si="132"/>
        <v>250032</v>
      </c>
      <c r="B7589" s="8" t="str">
        <f>"2561408013001"</f>
        <v>2561408013001</v>
      </c>
      <c r="C7589" s="8" t="s">
        <v>14</v>
      </c>
      <c r="D7589" s="9">
        <v>0</v>
      </c>
      <c r="E7589" s="8">
        <v>310</v>
      </c>
    </row>
    <row r="7590" s="3" customFormat="1" ht="18.75" spans="1:5">
      <c r="A7590" s="8" t="str">
        <f t="shared" si="132"/>
        <v>250032</v>
      </c>
      <c r="B7590" s="8" t="str">
        <f>"2561408013003"</f>
        <v>2561408013003</v>
      </c>
      <c r="C7590" s="8" t="s">
        <v>14</v>
      </c>
      <c r="D7590" s="9">
        <v>0</v>
      </c>
      <c r="E7590" s="8">
        <v>310</v>
      </c>
    </row>
    <row r="7591" s="3" customFormat="1" ht="18.75" spans="1:5">
      <c r="A7591" s="8" t="str">
        <f t="shared" si="132"/>
        <v>250032</v>
      </c>
      <c r="B7591" s="8" t="str">
        <f>"2561408013006"</f>
        <v>2561408013006</v>
      </c>
      <c r="C7591" s="8" t="s">
        <v>14</v>
      </c>
      <c r="D7591" s="9">
        <v>0</v>
      </c>
      <c r="E7591" s="8">
        <v>310</v>
      </c>
    </row>
    <row r="7592" s="3" customFormat="1" ht="18.75" spans="1:5">
      <c r="A7592" s="8" t="str">
        <f t="shared" si="132"/>
        <v>250032</v>
      </c>
      <c r="B7592" s="8" t="str">
        <f>"2561408013007"</f>
        <v>2561408013007</v>
      </c>
      <c r="C7592" s="8" t="s">
        <v>14</v>
      </c>
      <c r="D7592" s="9">
        <v>0</v>
      </c>
      <c r="E7592" s="8">
        <v>310</v>
      </c>
    </row>
    <row r="7593" s="3" customFormat="1" ht="18.75" spans="1:5">
      <c r="A7593" s="8" t="str">
        <f t="shared" si="132"/>
        <v>250032</v>
      </c>
      <c r="B7593" s="8" t="str">
        <f>"2561408013011"</f>
        <v>2561408013011</v>
      </c>
      <c r="C7593" s="8" t="s">
        <v>14</v>
      </c>
      <c r="D7593" s="9">
        <v>0</v>
      </c>
      <c r="E7593" s="8">
        <v>310</v>
      </c>
    </row>
    <row r="7594" s="3" customFormat="1" ht="18.75" spans="1:5">
      <c r="A7594" s="8" t="str">
        <f t="shared" si="132"/>
        <v>250032</v>
      </c>
      <c r="B7594" s="8" t="str">
        <f>"2561408013012"</f>
        <v>2561408013012</v>
      </c>
      <c r="C7594" s="8" t="s">
        <v>14</v>
      </c>
      <c r="D7594" s="9">
        <v>0</v>
      </c>
      <c r="E7594" s="8">
        <v>310</v>
      </c>
    </row>
    <row r="7595" s="3" customFormat="1" ht="18.75" spans="1:5">
      <c r="A7595" s="8" t="str">
        <f>"250032"</f>
        <v>250032</v>
      </c>
      <c r="B7595" s="8" t="str">
        <f>"2561408013017"</f>
        <v>2561408013017</v>
      </c>
      <c r="C7595" s="8" t="s">
        <v>14</v>
      </c>
      <c r="D7595" s="9">
        <v>0</v>
      </c>
      <c r="E7595" s="8">
        <v>310</v>
      </c>
    </row>
    <row r="7596" s="3" customFormat="1" ht="18.75" spans="1:5">
      <c r="A7596" s="8" t="str">
        <f>"250032"</f>
        <v>250032</v>
      </c>
      <c r="B7596" s="8" t="str">
        <f>"2561408013025"</f>
        <v>2561408013025</v>
      </c>
      <c r="C7596" s="8" t="s">
        <v>14</v>
      </c>
      <c r="D7596" s="9">
        <v>0</v>
      </c>
      <c r="E7596" s="8">
        <v>310</v>
      </c>
    </row>
    <row r="7597" s="3" customFormat="1" ht="18.75" spans="1:5">
      <c r="A7597" s="8" t="str">
        <f>"250032"</f>
        <v>250032</v>
      </c>
      <c r="B7597" s="8" t="str">
        <f>"2561408013026"</f>
        <v>2561408013026</v>
      </c>
      <c r="C7597" s="8" t="s">
        <v>14</v>
      </c>
      <c r="D7597" s="9">
        <v>0</v>
      </c>
      <c r="E7597" s="8">
        <v>310</v>
      </c>
    </row>
    <row r="7598" s="3" customFormat="1" ht="18.75" spans="1:5">
      <c r="A7598" s="8" t="str">
        <f>"250032"</f>
        <v>250032</v>
      </c>
      <c r="B7598" s="8" t="str">
        <f>"2561408013028"</f>
        <v>2561408013028</v>
      </c>
      <c r="C7598" s="8" t="s">
        <v>14</v>
      </c>
      <c r="D7598" s="9">
        <v>0</v>
      </c>
      <c r="E7598" s="8">
        <v>310</v>
      </c>
    </row>
    <row r="7599" s="3" customFormat="1" ht="18.75" spans="1:5">
      <c r="A7599" s="8" t="str">
        <f>"250032"</f>
        <v>250032</v>
      </c>
      <c r="B7599" s="8" t="str">
        <f>"2561408013106"</f>
        <v>2561408013106</v>
      </c>
      <c r="C7599" s="8" t="s">
        <v>14</v>
      </c>
      <c r="D7599" s="9">
        <v>0</v>
      </c>
      <c r="E7599" s="8">
        <v>310</v>
      </c>
    </row>
    <row r="7600" s="3" customFormat="1" ht="18.75" spans="1:5">
      <c r="A7600" s="8" t="str">
        <f t="shared" ref="A7600:A7663" si="133">"250033"</f>
        <v>250033</v>
      </c>
      <c r="B7600" s="8" t="str">
        <f>"2561408013514"</f>
        <v>2561408013514</v>
      </c>
      <c r="C7600" s="8" t="s">
        <v>14</v>
      </c>
      <c r="D7600" s="9">
        <v>68.01</v>
      </c>
      <c r="E7600" s="8">
        <v>1</v>
      </c>
    </row>
    <row r="7601" s="3" customFormat="1" ht="18.75" spans="1:5">
      <c r="A7601" s="8" t="str">
        <f t="shared" si="133"/>
        <v>250033</v>
      </c>
      <c r="B7601" s="8" t="str">
        <f>"2561408013513"</f>
        <v>2561408013513</v>
      </c>
      <c r="C7601" s="8" t="s">
        <v>14</v>
      </c>
      <c r="D7601" s="9">
        <v>67.67</v>
      </c>
      <c r="E7601" s="8">
        <v>2</v>
      </c>
    </row>
    <row r="7602" s="3" customFormat="1" ht="18.75" spans="1:5">
      <c r="A7602" s="8" t="str">
        <f t="shared" si="133"/>
        <v>250033</v>
      </c>
      <c r="B7602" s="8" t="str">
        <f>"2561408013218"</f>
        <v>2561408013218</v>
      </c>
      <c r="C7602" s="8" t="s">
        <v>14</v>
      </c>
      <c r="D7602" s="9">
        <v>66.78</v>
      </c>
      <c r="E7602" s="8">
        <v>3</v>
      </c>
    </row>
    <row r="7603" s="3" customFormat="1" ht="18.75" spans="1:5">
      <c r="A7603" s="8" t="str">
        <f t="shared" si="133"/>
        <v>250033</v>
      </c>
      <c r="B7603" s="8" t="str">
        <f>"2561408013729"</f>
        <v>2561408013729</v>
      </c>
      <c r="C7603" s="8" t="s">
        <v>14</v>
      </c>
      <c r="D7603" s="9">
        <v>66.78</v>
      </c>
      <c r="E7603" s="8">
        <v>3</v>
      </c>
    </row>
    <row r="7604" s="3" customFormat="1" ht="18.75" spans="1:5">
      <c r="A7604" s="8" t="str">
        <f t="shared" si="133"/>
        <v>250033</v>
      </c>
      <c r="B7604" s="8" t="str">
        <f>"2561408013624"</f>
        <v>2561408013624</v>
      </c>
      <c r="C7604" s="8" t="s">
        <v>14</v>
      </c>
      <c r="D7604" s="9">
        <v>66.13</v>
      </c>
      <c r="E7604" s="8">
        <v>5</v>
      </c>
    </row>
    <row r="7605" s="3" customFormat="1" ht="18.75" spans="1:5">
      <c r="A7605" s="8" t="str">
        <f t="shared" si="133"/>
        <v>250033</v>
      </c>
      <c r="B7605" s="8" t="str">
        <f>"2561408013623"</f>
        <v>2561408013623</v>
      </c>
      <c r="C7605" s="8" t="s">
        <v>14</v>
      </c>
      <c r="D7605" s="9">
        <v>66.11</v>
      </c>
      <c r="E7605" s="8">
        <v>6</v>
      </c>
    </row>
    <row r="7606" s="3" customFormat="1" ht="18.75" spans="1:5">
      <c r="A7606" s="8" t="str">
        <f t="shared" si="133"/>
        <v>250033</v>
      </c>
      <c r="B7606" s="8" t="str">
        <f>"2561408013129"</f>
        <v>2561408013129</v>
      </c>
      <c r="C7606" s="8" t="s">
        <v>14</v>
      </c>
      <c r="D7606" s="9">
        <v>65.62</v>
      </c>
      <c r="E7606" s="8">
        <v>7</v>
      </c>
    </row>
    <row r="7607" s="3" customFormat="1" ht="18.75" spans="1:5">
      <c r="A7607" s="8" t="str">
        <f t="shared" si="133"/>
        <v>250033</v>
      </c>
      <c r="B7607" s="8" t="str">
        <f>"2561408013818"</f>
        <v>2561408013818</v>
      </c>
      <c r="C7607" s="8" t="s">
        <v>14</v>
      </c>
      <c r="D7607" s="9">
        <v>65.46</v>
      </c>
      <c r="E7607" s="8">
        <v>8</v>
      </c>
    </row>
    <row r="7608" s="3" customFormat="1" ht="18.75" spans="1:5">
      <c r="A7608" s="8" t="str">
        <f t="shared" si="133"/>
        <v>250033</v>
      </c>
      <c r="B7608" s="8" t="str">
        <f>"2561408013703"</f>
        <v>2561408013703</v>
      </c>
      <c r="C7608" s="8" t="s">
        <v>14</v>
      </c>
      <c r="D7608" s="9">
        <v>65.36</v>
      </c>
      <c r="E7608" s="8">
        <v>9</v>
      </c>
    </row>
    <row r="7609" s="3" customFormat="1" ht="18.75" spans="1:5">
      <c r="A7609" s="8" t="str">
        <f t="shared" si="133"/>
        <v>250033</v>
      </c>
      <c r="B7609" s="8" t="str">
        <f>"2561408013903"</f>
        <v>2561408013903</v>
      </c>
      <c r="C7609" s="8" t="s">
        <v>14</v>
      </c>
      <c r="D7609" s="9">
        <v>65.05</v>
      </c>
      <c r="E7609" s="8">
        <v>10</v>
      </c>
    </row>
    <row r="7610" s="3" customFormat="1" ht="18.75" spans="1:5">
      <c r="A7610" s="8" t="str">
        <f t="shared" si="133"/>
        <v>250033</v>
      </c>
      <c r="B7610" s="8" t="str">
        <f>"2561408013217"</f>
        <v>2561408013217</v>
      </c>
      <c r="C7610" s="8" t="s">
        <v>14</v>
      </c>
      <c r="D7610" s="9">
        <v>64.88</v>
      </c>
      <c r="E7610" s="8">
        <v>11</v>
      </c>
    </row>
    <row r="7611" s="3" customFormat="1" ht="18.75" spans="1:5">
      <c r="A7611" s="8" t="str">
        <f t="shared" si="133"/>
        <v>250033</v>
      </c>
      <c r="B7611" s="8" t="str">
        <f>"2561408013225"</f>
        <v>2561408013225</v>
      </c>
      <c r="C7611" s="8" t="s">
        <v>14</v>
      </c>
      <c r="D7611" s="9">
        <v>64.19</v>
      </c>
      <c r="E7611" s="8">
        <v>12</v>
      </c>
    </row>
    <row r="7612" s="3" customFormat="1" ht="18.75" spans="1:5">
      <c r="A7612" s="8" t="str">
        <f t="shared" si="133"/>
        <v>250033</v>
      </c>
      <c r="B7612" s="8" t="str">
        <f>"2561408013224"</f>
        <v>2561408013224</v>
      </c>
      <c r="C7612" s="8" t="s">
        <v>14</v>
      </c>
      <c r="D7612" s="9">
        <v>64.02</v>
      </c>
      <c r="E7612" s="8">
        <v>13</v>
      </c>
    </row>
    <row r="7613" s="3" customFormat="1" ht="18.75" spans="1:5">
      <c r="A7613" s="8" t="str">
        <f t="shared" si="133"/>
        <v>250033</v>
      </c>
      <c r="B7613" s="8" t="str">
        <f>"2561408013629"</f>
        <v>2561408013629</v>
      </c>
      <c r="C7613" s="8" t="s">
        <v>14</v>
      </c>
      <c r="D7613" s="9">
        <v>63.98</v>
      </c>
      <c r="E7613" s="8">
        <v>14</v>
      </c>
    </row>
    <row r="7614" s="3" customFormat="1" ht="18.75" spans="1:5">
      <c r="A7614" s="8" t="str">
        <f t="shared" si="133"/>
        <v>250033</v>
      </c>
      <c r="B7614" s="8" t="str">
        <f>"2561408013306"</f>
        <v>2561408013306</v>
      </c>
      <c r="C7614" s="8" t="s">
        <v>14</v>
      </c>
      <c r="D7614" s="9">
        <v>63.96</v>
      </c>
      <c r="E7614" s="8">
        <v>15</v>
      </c>
    </row>
    <row r="7615" s="3" customFormat="1" ht="18.75" spans="1:5">
      <c r="A7615" s="8" t="str">
        <f t="shared" si="133"/>
        <v>250033</v>
      </c>
      <c r="B7615" s="8" t="str">
        <f>"2561408013312"</f>
        <v>2561408013312</v>
      </c>
      <c r="C7615" s="8" t="s">
        <v>14</v>
      </c>
      <c r="D7615" s="9">
        <v>63.74</v>
      </c>
      <c r="E7615" s="8">
        <v>16</v>
      </c>
    </row>
    <row r="7616" s="3" customFormat="1" ht="18.75" spans="1:5">
      <c r="A7616" s="8" t="str">
        <f t="shared" si="133"/>
        <v>250033</v>
      </c>
      <c r="B7616" s="8" t="str">
        <f>"2561408013603"</f>
        <v>2561408013603</v>
      </c>
      <c r="C7616" s="8" t="s">
        <v>14</v>
      </c>
      <c r="D7616" s="9">
        <v>63.47</v>
      </c>
      <c r="E7616" s="8">
        <v>17</v>
      </c>
    </row>
    <row r="7617" s="3" customFormat="1" ht="18.75" spans="1:5">
      <c r="A7617" s="8" t="str">
        <f t="shared" si="133"/>
        <v>250033</v>
      </c>
      <c r="B7617" s="8" t="str">
        <f>"2561408013404"</f>
        <v>2561408013404</v>
      </c>
      <c r="C7617" s="8" t="s">
        <v>14</v>
      </c>
      <c r="D7617" s="9">
        <v>63.1</v>
      </c>
      <c r="E7617" s="8">
        <v>18</v>
      </c>
    </row>
    <row r="7618" s="3" customFormat="1" ht="18.75" spans="1:5">
      <c r="A7618" s="8" t="str">
        <f t="shared" si="133"/>
        <v>250033</v>
      </c>
      <c r="B7618" s="8" t="str">
        <f>"2561408013724"</f>
        <v>2561408013724</v>
      </c>
      <c r="C7618" s="8" t="s">
        <v>14</v>
      </c>
      <c r="D7618" s="9">
        <v>62.99</v>
      </c>
      <c r="E7618" s="8">
        <v>19</v>
      </c>
    </row>
    <row r="7619" s="3" customFormat="1" ht="18.75" spans="1:5">
      <c r="A7619" s="8" t="str">
        <f t="shared" si="133"/>
        <v>250033</v>
      </c>
      <c r="B7619" s="8" t="str">
        <f>"2561408013119"</f>
        <v>2561408013119</v>
      </c>
      <c r="C7619" s="8" t="s">
        <v>14</v>
      </c>
      <c r="D7619" s="9">
        <v>62.49</v>
      </c>
      <c r="E7619" s="8">
        <v>20</v>
      </c>
    </row>
    <row r="7620" s="3" customFormat="1" ht="18.75" spans="1:5">
      <c r="A7620" s="8" t="str">
        <f t="shared" si="133"/>
        <v>250033</v>
      </c>
      <c r="B7620" s="8" t="str">
        <f>"2561408013526"</f>
        <v>2561408013526</v>
      </c>
      <c r="C7620" s="8" t="s">
        <v>14</v>
      </c>
      <c r="D7620" s="9">
        <v>62.38</v>
      </c>
      <c r="E7620" s="8">
        <v>21</v>
      </c>
    </row>
    <row r="7621" s="3" customFormat="1" ht="18.75" spans="1:5">
      <c r="A7621" s="8" t="str">
        <f t="shared" si="133"/>
        <v>250033</v>
      </c>
      <c r="B7621" s="8" t="str">
        <f>"2561408013826"</f>
        <v>2561408013826</v>
      </c>
      <c r="C7621" s="8" t="s">
        <v>14</v>
      </c>
      <c r="D7621" s="9">
        <v>62.26</v>
      </c>
      <c r="E7621" s="8">
        <v>22</v>
      </c>
    </row>
    <row r="7622" s="3" customFormat="1" ht="18.75" spans="1:5">
      <c r="A7622" s="8" t="str">
        <f t="shared" si="133"/>
        <v>250033</v>
      </c>
      <c r="B7622" s="8" t="str">
        <f>"2561408013601"</f>
        <v>2561408013601</v>
      </c>
      <c r="C7622" s="8" t="s">
        <v>14</v>
      </c>
      <c r="D7622" s="9">
        <v>62.22</v>
      </c>
      <c r="E7622" s="8">
        <v>23</v>
      </c>
    </row>
    <row r="7623" s="3" customFormat="1" ht="18.75" spans="1:5">
      <c r="A7623" s="8" t="str">
        <f t="shared" si="133"/>
        <v>250033</v>
      </c>
      <c r="B7623" s="8" t="str">
        <f>"2561408013824"</f>
        <v>2561408013824</v>
      </c>
      <c r="C7623" s="8" t="s">
        <v>14</v>
      </c>
      <c r="D7623" s="9">
        <v>62.15</v>
      </c>
      <c r="E7623" s="8">
        <v>24</v>
      </c>
    </row>
    <row r="7624" s="3" customFormat="1" ht="18.75" spans="1:5">
      <c r="A7624" s="8" t="str">
        <f t="shared" si="133"/>
        <v>250033</v>
      </c>
      <c r="B7624" s="8" t="str">
        <f>"2561408013115"</f>
        <v>2561408013115</v>
      </c>
      <c r="C7624" s="8" t="s">
        <v>14</v>
      </c>
      <c r="D7624" s="9">
        <v>61.51</v>
      </c>
      <c r="E7624" s="8">
        <v>25</v>
      </c>
    </row>
    <row r="7625" s="3" customFormat="1" ht="18.75" spans="1:5">
      <c r="A7625" s="8" t="str">
        <f t="shared" si="133"/>
        <v>250033</v>
      </c>
      <c r="B7625" s="8" t="str">
        <f>"2561408013507"</f>
        <v>2561408013507</v>
      </c>
      <c r="C7625" s="8" t="s">
        <v>14</v>
      </c>
      <c r="D7625" s="9">
        <v>61.48</v>
      </c>
      <c r="E7625" s="8">
        <v>26</v>
      </c>
    </row>
    <row r="7626" s="3" customFormat="1" ht="18.75" spans="1:5">
      <c r="A7626" s="8" t="str">
        <f t="shared" si="133"/>
        <v>250033</v>
      </c>
      <c r="B7626" s="8" t="str">
        <f>"2561408013428"</f>
        <v>2561408013428</v>
      </c>
      <c r="C7626" s="8" t="s">
        <v>14</v>
      </c>
      <c r="D7626" s="9">
        <v>61.39</v>
      </c>
      <c r="E7626" s="8">
        <v>27</v>
      </c>
    </row>
    <row r="7627" s="3" customFormat="1" ht="18.75" spans="1:5">
      <c r="A7627" s="8" t="str">
        <f t="shared" si="133"/>
        <v>250033</v>
      </c>
      <c r="B7627" s="8" t="str">
        <f>"2561408013815"</f>
        <v>2561408013815</v>
      </c>
      <c r="C7627" s="8" t="s">
        <v>14</v>
      </c>
      <c r="D7627" s="9">
        <v>61.28</v>
      </c>
      <c r="E7627" s="8">
        <v>28</v>
      </c>
    </row>
    <row r="7628" s="3" customFormat="1" ht="18.75" spans="1:5">
      <c r="A7628" s="8" t="str">
        <f t="shared" si="133"/>
        <v>250033</v>
      </c>
      <c r="B7628" s="8" t="str">
        <f>"2561408013414"</f>
        <v>2561408013414</v>
      </c>
      <c r="C7628" s="8" t="s">
        <v>14</v>
      </c>
      <c r="D7628" s="9">
        <v>61.25</v>
      </c>
      <c r="E7628" s="8">
        <v>29</v>
      </c>
    </row>
    <row r="7629" s="3" customFormat="1" ht="18.75" spans="1:5">
      <c r="A7629" s="8" t="str">
        <f t="shared" si="133"/>
        <v>250033</v>
      </c>
      <c r="B7629" s="8" t="str">
        <f>"2561408013205"</f>
        <v>2561408013205</v>
      </c>
      <c r="C7629" s="8" t="s">
        <v>14</v>
      </c>
      <c r="D7629" s="9">
        <v>60.53</v>
      </c>
      <c r="E7629" s="8">
        <v>30</v>
      </c>
    </row>
    <row r="7630" s="3" customFormat="1" ht="18.75" spans="1:5">
      <c r="A7630" s="8" t="str">
        <f t="shared" si="133"/>
        <v>250033</v>
      </c>
      <c r="B7630" s="8" t="str">
        <f>"2561408013808"</f>
        <v>2561408013808</v>
      </c>
      <c r="C7630" s="8" t="s">
        <v>14</v>
      </c>
      <c r="D7630" s="9">
        <v>59.89</v>
      </c>
      <c r="E7630" s="8">
        <v>31</v>
      </c>
    </row>
    <row r="7631" s="3" customFormat="1" ht="18.75" spans="1:5">
      <c r="A7631" s="8" t="str">
        <f t="shared" si="133"/>
        <v>250033</v>
      </c>
      <c r="B7631" s="8" t="str">
        <f>"2561408013602"</f>
        <v>2561408013602</v>
      </c>
      <c r="C7631" s="8" t="s">
        <v>14</v>
      </c>
      <c r="D7631" s="9">
        <v>59.69</v>
      </c>
      <c r="E7631" s="8">
        <v>32</v>
      </c>
    </row>
    <row r="7632" s="3" customFormat="1" ht="18.75" spans="1:5">
      <c r="A7632" s="8" t="str">
        <f t="shared" si="133"/>
        <v>250033</v>
      </c>
      <c r="B7632" s="8" t="str">
        <f>"2561408013206"</f>
        <v>2561408013206</v>
      </c>
      <c r="C7632" s="8" t="s">
        <v>14</v>
      </c>
      <c r="D7632" s="9">
        <v>59.6</v>
      </c>
      <c r="E7632" s="8">
        <v>33</v>
      </c>
    </row>
    <row r="7633" s="3" customFormat="1" ht="18.75" spans="1:5">
      <c r="A7633" s="8" t="str">
        <f t="shared" si="133"/>
        <v>250033</v>
      </c>
      <c r="B7633" s="8" t="str">
        <f>"2561408013811"</f>
        <v>2561408013811</v>
      </c>
      <c r="C7633" s="8" t="s">
        <v>14</v>
      </c>
      <c r="D7633" s="9">
        <v>59.54</v>
      </c>
      <c r="E7633" s="8">
        <v>34</v>
      </c>
    </row>
    <row r="7634" s="3" customFormat="1" ht="18.75" spans="1:5">
      <c r="A7634" s="8" t="str">
        <f t="shared" si="133"/>
        <v>250033</v>
      </c>
      <c r="B7634" s="8" t="str">
        <f>"2561408013201"</f>
        <v>2561408013201</v>
      </c>
      <c r="C7634" s="8" t="s">
        <v>14</v>
      </c>
      <c r="D7634" s="9">
        <v>59.42</v>
      </c>
      <c r="E7634" s="8">
        <v>35</v>
      </c>
    </row>
    <row r="7635" s="3" customFormat="1" ht="18.75" spans="1:5">
      <c r="A7635" s="8" t="str">
        <f t="shared" si="133"/>
        <v>250033</v>
      </c>
      <c r="B7635" s="8" t="str">
        <f>"2561408013830"</f>
        <v>2561408013830</v>
      </c>
      <c r="C7635" s="8" t="s">
        <v>14</v>
      </c>
      <c r="D7635" s="9">
        <v>59.39</v>
      </c>
      <c r="E7635" s="8">
        <v>36</v>
      </c>
    </row>
    <row r="7636" s="3" customFormat="1" ht="18.75" spans="1:5">
      <c r="A7636" s="8" t="str">
        <f t="shared" si="133"/>
        <v>250033</v>
      </c>
      <c r="B7636" s="8" t="str">
        <f>"2561408013401"</f>
        <v>2561408013401</v>
      </c>
      <c r="C7636" s="8" t="s">
        <v>14</v>
      </c>
      <c r="D7636" s="9">
        <v>59.32</v>
      </c>
      <c r="E7636" s="8">
        <v>37</v>
      </c>
    </row>
    <row r="7637" s="3" customFormat="1" ht="18.75" spans="1:5">
      <c r="A7637" s="8" t="str">
        <f t="shared" si="133"/>
        <v>250033</v>
      </c>
      <c r="B7637" s="8" t="str">
        <f>"2561408013114"</f>
        <v>2561408013114</v>
      </c>
      <c r="C7637" s="8" t="s">
        <v>14</v>
      </c>
      <c r="D7637" s="9">
        <v>59.19</v>
      </c>
      <c r="E7637" s="8">
        <v>38</v>
      </c>
    </row>
    <row r="7638" s="3" customFormat="1" ht="18.75" spans="1:5">
      <c r="A7638" s="8" t="str">
        <f t="shared" si="133"/>
        <v>250033</v>
      </c>
      <c r="B7638" s="8" t="str">
        <f>"2561408013717"</f>
        <v>2561408013717</v>
      </c>
      <c r="C7638" s="8" t="s">
        <v>14</v>
      </c>
      <c r="D7638" s="9">
        <v>59.13</v>
      </c>
      <c r="E7638" s="8">
        <v>39</v>
      </c>
    </row>
    <row r="7639" s="3" customFormat="1" ht="18.75" spans="1:5">
      <c r="A7639" s="8" t="str">
        <f t="shared" si="133"/>
        <v>250033</v>
      </c>
      <c r="B7639" s="8" t="str">
        <f>"2561408013223"</f>
        <v>2561408013223</v>
      </c>
      <c r="C7639" s="8" t="s">
        <v>14</v>
      </c>
      <c r="D7639" s="9">
        <v>59</v>
      </c>
      <c r="E7639" s="8">
        <v>40</v>
      </c>
    </row>
    <row r="7640" s="3" customFormat="1" ht="18.75" spans="1:5">
      <c r="A7640" s="8" t="str">
        <f t="shared" si="133"/>
        <v>250033</v>
      </c>
      <c r="B7640" s="8" t="str">
        <f>"2561408013319"</f>
        <v>2561408013319</v>
      </c>
      <c r="C7640" s="8" t="s">
        <v>14</v>
      </c>
      <c r="D7640" s="9">
        <v>58.95</v>
      </c>
      <c r="E7640" s="8">
        <v>41</v>
      </c>
    </row>
    <row r="7641" s="3" customFormat="1" ht="18.75" spans="1:5">
      <c r="A7641" s="8" t="str">
        <f t="shared" si="133"/>
        <v>250033</v>
      </c>
      <c r="B7641" s="8" t="str">
        <f>"2561408013228"</f>
        <v>2561408013228</v>
      </c>
      <c r="C7641" s="8" t="s">
        <v>14</v>
      </c>
      <c r="D7641" s="9">
        <v>58.86</v>
      </c>
      <c r="E7641" s="8">
        <v>42</v>
      </c>
    </row>
    <row r="7642" s="3" customFormat="1" ht="18.75" spans="1:5">
      <c r="A7642" s="8" t="str">
        <f t="shared" si="133"/>
        <v>250033</v>
      </c>
      <c r="B7642" s="8" t="str">
        <f>"2561408013608"</f>
        <v>2561408013608</v>
      </c>
      <c r="C7642" s="8" t="s">
        <v>14</v>
      </c>
      <c r="D7642" s="9">
        <v>58.77</v>
      </c>
      <c r="E7642" s="8">
        <v>43</v>
      </c>
    </row>
    <row r="7643" s="3" customFormat="1" ht="18.75" spans="1:5">
      <c r="A7643" s="8" t="str">
        <f t="shared" si="133"/>
        <v>250033</v>
      </c>
      <c r="B7643" s="8" t="str">
        <f>"2561408013617"</f>
        <v>2561408013617</v>
      </c>
      <c r="C7643" s="8" t="s">
        <v>14</v>
      </c>
      <c r="D7643" s="9">
        <v>58.67</v>
      </c>
      <c r="E7643" s="8">
        <v>44</v>
      </c>
    </row>
    <row r="7644" s="3" customFormat="1" ht="18.75" spans="1:5">
      <c r="A7644" s="8" t="str">
        <f t="shared" si="133"/>
        <v>250033</v>
      </c>
      <c r="B7644" s="8" t="str">
        <f>"2561408013211"</f>
        <v>2561408013211</v>
      </c>
      <c r="C7644" s="8" t="s">
        <v>14</v>
      </c>
      <c r="D7644" s="9">
        <v>58.57</v>
      </c>
      <c r="E7644" s="8">
        <v>45</v>
      </c>
    </row>
    <row r="7645" s="3" customFormat="1" ht="18.75" spans="1:5">
      <c r="A7645" s="8" t="str">
        <f t="shared" si="133"/>
        <v>250033</v>
      </c>
      <c r="B7645" s="8" t="str">
        <f>"2561408013810"</f>
        <v>2561408013810</v>
      </c>
      <c r="C7645" s="8" t="s">
        <v>14</v>
      </c>
      <c r="D7645" s="9">
        <v>58.25</v>
      </c>
      <c r="E7645" s="8">
        <v>46</v>
      </c>
    </row>
    <row r="7646" s="3" customFormat="1" ht="18.75" spans="1:5">
      <c r="A7646" s="8" t="str">
        <f t="shared" si="133"/>
        <v>250033</v>
      </c>
      <c r="B7646" s="8" t="str">
        <f>"2561408013501"</f>
        <v>2561408013501</v>
      </c>
      <c r="C7646" s="8" t="s">
        <v>14</v>
      </c>
      <c r="D7646" s="9">
        <v>58.08</v>
      </c>
      <c r="E7646" s="8">
        <v>47</v>
      </c>
    </row>
    <row r="7647" s="3" customFormat="1" ht="18.75" spans="1:5">
      <c r="A7647" s="8" t="str">
        <f t="shared" si="133"/>
        <v>250033</v>
      </c>
      <c r="B7647" s="8" t="str">
        <f>"2561408013122"</f>
        <v>2561408013122</v>
      </c>
      <c r="C7647" s="8" t="s">
        <v>14</v>
      </c>
      <c r="D7647" s="9">
        <v>58.04</v>
      </c>
      <c r="E7647" s="8">
        <v>48</v>
      </c>
    </row>
    <row r="7648" s="3" customFormat="1" ht="18.75" spans="1:5">
      <c r="A7648" s="8" t="str">
        <f t="shared" si="133"/>
        <v>250033</v>
      </c>
      <c r="B7648" s="8" t="str">
        <f>"2561408013702"</f>
        <v>2561408013702</v>
      </c>
      <c r="C7648" s="8" t="s">
        <v>14</v>
      </c>
      <c r="D7648" s="9">
        <v>57.97</v>
      </c>
      <c r="E7648" s="8">
        <v>49</v>
      </c>
    </row>
    <row r="7649" s="3" customFormat="1" ht="18.75" spans="1:5">
      <c r="A7649" s="8" t="str">
        <f t="shared" si="133"/>
        <v>250033</v>
      </c>
      <c r="B7649" s="8" t="str">
        <f>"2561408013226"</f>
        <v>2561408013226</v>
      </c>
      <c r="C7649" s="8" t="s">
        <v>14</v>
      </c>
      <c r="D7649" s="9">
        <v>57.83</v>
      </c>
      <c r="E7649" s="8">
        <v>50</v>
      </c>
    </row>
    <row r="7650" s="3" customFormat="1" ht="18.75" spans="1:5">
      <c r="A7650" s="8" t="str">
        <f t="shared" si="133"/>
        <v>250033</v>
      </c>
      <c r="B7650" s="8" t="str">
        <f>"2561408013530"</f>
        <v>2561408013530</v>
      </c>
      <c r="C7650" s="8" t="s">
        <v>14</v>
      </c>
      <c r="D7650" s="9">
        <v>57.77</v>
      </c>
      <c r="E7650" s="8">
        <v>51</v>
      </c>
    </row>
    <row r="7651" s="3" customFormat="1" ht="18.75" spans="1:5">
      <c r="A7651" s="8" t="str">
        <f t="shared" si="133"/>
        <v>250033</v>
      </c>
      <c r="B7651" s="8" t="str">
        <f>"2561408013219"</f>
        <v>2561408013219</v>
      </c>
      <c r="C7651" s="8" t="s">
        <v>14</v>
      </c>
      <c r="D7651" s="9">
        <v>57.6</v>
      </c>
      <c r="E7651" s="8">
        <v>52</v>
      </c>
    </row>
    <row r="7652" s="3" customFormat="1" ht="18.75" spans="1:5">
      <c r="A7652" s="8" t="str">
        <f t="shared" si="133"/>
        <v>250033</v>
      </c>
      <c r="B7652" s="8" t="str">
        <f>"2561408013816"</f>
        <v>2561408013816</v>
      </c>
      <c r="C7652" s="8" t="s">
        <v>14</v>
      </c>
      <c r="D7652" s="9">
        <v>57.57</v>
      </c>
      <c r="E7652" s="8">
        <v>53</v>
      </c>
    </row>
    <row r="7653" s="3" customFormat="1" ht="18.75" spans="1:5">
      <c r="A7653" s="8" t="str">
        <f t="shared" si="133"/>
        <v>250033</v>
      </c>
      <c r="B7653" s="8" t="str">
        <f>"2561408013701"</f>
        <v>2561408013701</v>
      </c>
      <c r="C7653" s="8" t="s">
        <v>14</v>
      </c>
      <c r="D7653" s="9">
        <v>57.56</v>
      </c>
      <c r="E7653" s="8">
        <v>54</v>
      </c>
    </row>
    <row r="7654" s="3" customFormat="1" ht="18.75" spans="1:5">
      <c r="A7654" s="8" t="str">
        <f t="shared" si="133"/>
        <v>250033</v>
      </c>
      <c r="B7654" s="8" t="str">
        <f>"2561408013622"</f>
        <v>2561408013622</v>
      </c>
      <c r="C7654" s="8" t="s">
        <v>14</v>
      </c>
      <c r="D7654" s="9">
        <v>57.41</v>
      </c>
      <c r="E7654" s="8">
        <v>55</v>
      </c>
    </row>
    <row r="7655" s="3" customFormat="1" ht="18.75" spans="1:5">
      <c r="A7655" s="8" t="str">
        <f t="shared" si="133"/>
        <v>250033</v>
      </c>
      <c r="B7655" s="8" t="str">
        <f>"2561408013328"</f>
        <v>2561408013328</v>
      </c>
      <c r="C7655" s="8" t="s">
        <v>14</v>
      </c>
      <c r="D7655" s="9">
        <v>57.31</v>
      </c>
      <c r="E7655" s="8">
        <v>56</v>
      </c>
    </row>
    <row r="7656" s="3" customFormat="1" ht="18.75" spans="1:5">
      <c r="A7656" s="8" t="str">
        <f t="shared" si="133"/>
        <v>250033</v>
      </c>
      <c r="B7656" s="8" t="str">
        <f>"2561408013621"</f>
        <v>2561408013621</v>
      </c>
      <c r="C7656" s="8" t="s">
        <v>14</v>
      </c>
      <c r="D7656" s="9">
        <v>57.25</v>
      </c>
      <c r="E7656" s="8">
        <v>57</v>
      </c>
    </row>
    <row r="7657" s="3" customFormat="1" ht="18.75" spans="1:5">
      <c r="A7657" s="8" t="str">
        <f t="shared" si="133"/>
        <v>250033</v>
      </c>
      <c r="B7657" s="8" t="str">
        <f>"2561408013516"</f>
        <v>2561408013516</v>
      </c>
      <c r="C7657" s="8" t="s">
        <v>14</v>
      </c>
      <c r="D7657" s="9">
        <v>57.19</v>
      </c>
      <c r="E7657" s="8">
        <v>58</v>
      </c>
    </row>
    <row r="7658" s="3" customFormat="1" ht="18.75" spans="1:5">
      <c r="A7658" s="8" t="str">
        <f t="shared" si="133"/>
        <v>250033</v>
      </c>
      <c r="B7658" s="8" t="str">
        <f>"2561408013330"</f>
        <v>2561408013330</v>
      </c>
      <c r="C7658" s="8" t="s">
        <v>14</v>
      </c>
      <c r="D7658" s="9">
        <v>57.16</v>
      </c>
      <c r="E7658" s="8">
        <v>59</v>
      </c>
    </row>
    <row r="7659" s="3" customFormat="1" ht="18.75" spans="1:5">
      <c r="A7659" s="8" t="str">
        <f t="shared" si="133"/>
        <v>250033</v>
      </c>
      <c r="B7659" s="8" t="str">
        <f>"2561408013124"</f>
        <v>2561408013124</v>
      </c>
      <c r="C7659" s="8" t="s">
        <v>14</v>
      </c>
      <c r="D7659" s="9">
        <v>57.08</v>
      </c>
      <c r="E7659" s="8">
        <v>60</v>
      </c>
    </row>
    <row r="7660" s="3" customFormat="1" ht="18.75" spans="1:5">
      <c r="A7660" s="8" t="str">
        <f t="shared" si="133"/>
        <v>250033</v>
      </c>
      <c r="B7660" s="8" t="str">
        <f>"2561408013126"</f>
        <v>2561408013126</v>
      </c>
      <c r="C7660" s="8" t="s">
        <v>14</v>
      </c>
      <c r="D7660" s="9">
        <v>56.94</v>
      </c>
      <c r="E7660" s="8">
        <v>61</v>
      </c>
    </row>
    <row r="7661" s="3" customFormat="1" ht="18.75" spans="1:5">
      <c r="A7661" s="8" t="str">
        <f t="shared" si="133"/>
        <v>250033</v>
      </c>
      <c r="B7661" s="8" t="str">
        <f>"2561408013828"</f>
        <v>2561408013828</v>
      </c>
      <c r="C7661" s="8" t="s">
        <v>14</v>
      </c>
      <c r="D7661" s="9">
        <v>56.93</v>
      </c>
      <c r="E7661" s="8">
        <v>62</v>
      </c>
    </row>
    <row r="7662" s="3" customFormat="1" ht="18.75" spans="1:5">
      <c r="A7662" s="8" t="str">
        <f t="shared" si="133"/>
        <v>250033</v>
      </c>
      <c r="B7662" s="8" t="str">
        <f>"2561408013322"</f>
        <v>2561408013322</v>
      </c>
      <c r="C7662" s="8" t="s">
        <v>14</v>
      </c>
      <c r="D7662" s="9">
        <v>56.84</v>
      </c>
      <c r="E7662" s="8">
        <v>63</v>
      </c>
    </row>
    <row r="7663" s="3" customFormat="1" ht="18.75" spans="1:5">
      <c r="A7663" s="8" t="str">
        <f t="shared" si="133"/>
        <v>250033</v>
      </c>
      <c r="B7663" s="8" t="str">
        <f>"2561408013416"</f>
        <v>2561408013416</v>
      </c>
      <c r="C7663" s="8" t="s">
        <v>14</v>
      </c>
      <c r="D7663" s="9">
        <v>56.18</v>
      </c>
      <c r="E7663" s="8">
        <v>64</v>
      </c>
    </row>
    <row r="7664" s="3" customFormat="1" ht="18.75" spans="1:5">
      <c r="A7664" s="8" t="str">
        <f t="shared" ref="A7664:A7727" si="134">"250033"</f>
        <v>250033</v>
      </c>
      <c r="B7664" s="8" t="str">
        <f>"2561408013710"</f>
        <v>2561408013710</v>
      </c>
      <c r="C7664" s="8" t="s">
        <v>14</v>
      </c>
      <c r="D7664" s="9">
        <v>56.13</v>
      </c>
      <c r="E7664" s="8">
        <v>65</v>
      </c>
    </row>
    <row r="7665" s="3" customFormat="1" ht="18.75" spans="1:5">
      <c r="A7665" s="8" t="str">
        <f t="shared" si="134"/>
        <v>250033</v>
      </c>
      <c r="B7665" s="8" t="str">
        <f>"2561408013427"</f>
        <v>2561408013427</v>
      </c>
      <c r="C7665" s="8" t="s">
        <v>14</v>
      </c>
      <c r="D7665" s="9">
        <v>55.89</v>
      </c>
      <c r="E7665" s="8">
        <v>66</v>
      </c>
    </row>
    <row r="7666" s="3" customFormat="1" ht="18.75" spans="1:5">
      <c r="A7666" s="8" t="str">
        <f t="shared" si="134"/>
        <v>250033</v>
      </c>
      <c r="B7666" s="8" t="str">
        <f>"2561408013429"</f>
        <v>2561408013429</v>
      </c>
      <c r="C7666" s="8" t="s">
        <v>14</v>
      </c>
      <c r="D7666" s="9">
        <v>55.89</v>
      </c>
      <c r="E7666" s="8">
        <v>66</v>
      </c>
    </row>
    <row r="7667" s="3" customFormat="1" ht="18.75" spans="1:5">
      <c r="A7667" s="8" t="str">
        <f t="shared" si="134"/>
        <v>250033</v>
      </c>
      <c r="B7667" s="8" t="str">
        <f>"2561408013520"</f>
        <v>2561408013520</v>
      </c>
      <c r="C7667" s="8" t="s">
        <v>14</v>
      </c>
      <c r="D7667" s="9">
        <v>55.56</v>
      </c>
      <c r="E7667" s="8">
        <v>68</v>
      </c>
    </row>
    <row r="7668" s="3" customFormat="1" ht="18.75" spans="1:5">
      <c r="A7668" s="8" t="str">
        <f t="shared" si="134"/>
        <v>250033</v>
      </c>
      <c r="B7668" s="8" t="str">
        <f>"2561408013430"</f>
        <v>2561408013430</v>
      </c>
      <c r="C7668" s="8" t="s">
        <v>14</v>
      </c>
      <c r="D7668" s="9">
        <v>55.52</v>
      </c>
      <c r="E7668" s="8">
        <v>69</v>
      </c>
    </row>
    <row r="7669" s="3" customFormat="1" ht="18.75" spans="1:5">
      <c r="A7669" s="8" t="str">
        <f t="shared" si="134"/>
        <v>250033</v>
      </c>
      <c r="B7669" s="8" t="str">
        <f>"2561408013222"</f>
        <v>2561408013222</v>
      </c>
      <c r="C7669" s="8" t="s">
        <v>14</v>
      </c>
      <c r="D7669" s="9">
        <v>55.43</v>
      </c>
      <c r="E7669" s="8">
        <v>70</v>
      </c>
    </row>
    <row r="7670" s="3" customFormat="1" ht="18.75" spans="1:5">
      <c r="A7670" s="8" t="str">
        <f t="shared" si="134"/>
        <v>250033</v>
      </c>
      <c r="B7670" s="8" t="str">
        <f>"2561408013620"</f>
        <v>2561408013620</v>
      </c>
      <c r="C7670" s="8" t="s">
        <v>14</v>
      </c>
      <c r="D7670" s="9">
        <v>55.42</v>
      </c>
      <c r="E7670" s="8">
        <v>71</v>
      </c>
    </row>
    <row r="7671" s="3" customFormat="1" ht="18.75" spans="1:5">
      <c r="A7671" s="8" t="str">
        <f t="shared" si="134"/>
        <v>250033</v>
      </c>
      <c r="B7671" s="8" t="str">
        <f>"2561408013321"</f>
        <v>2561408013321</v>
      </c>
      <c r="C7671" s="8" t="s">
        <v>14</v>
      </c>
      <c r="D7671" s="9">
        <v>55.36</v>
      </c>
      <c r="E7671" s="8">
        <v>72</v>
      </c>
    </row>
    <row r="7672" s="3" customFormat="1" ht="18.75" spans="1:5">
      <c r="A7672" s="8" t="str">
        <f t="shared" si="134"/>
        <v>250033</v>
      </c>
      <c r="B7672" s="8" t="str">
        <f>"2561408013212"</f>
        <v>2561408013212</v>
      </c>
      <c r="C7672" s="8" t="s">
        <v>14</v>
      </c>
      <c r="D7672" s="9">
        <v>55.32</v>
      </c>
      <c r="E7672" s="8">
        <v>73</v>
      </c>
    </row>
    <row r="7673" s="3" customFormat="1" ht="18.75" spans="1:5">
      <c r="A7673" s="8" t="str">
        <f t="shared" si="134"/>
        <v>250033</v>
      </c>
      <c r="B7673" s="8" t="str">
        <f>"2561408013216"</f>
        <v>2561408013216</v>
      </c>
      <c r="C7673" s="8" t="s">
        <v>14</v>
      </c>
      <c r="D7673" s="9">
        <v>55.25</v>
      </c>
      <c r="E7673" s="8">
        <v>74</v>
      </c>
    </row>
    <row r="7674" s="3" customFormat="1" ht="18.75" spans="1:5">
      <c r="A7674" s="8" t="str">
        <f t="shared" si="134"/>
        <v>250033</v>
      </c>
      <c r="B7674" s="8" t="str">
        <f>"2561408013214"</f>
        <v>2561408013214</v>
      </c>
      <c r="C7674" s="8" t="s">
        <v>14</v>
      </c>
      <c r="D7674" s="9">
        <v>55.14</v>
      </c>
      <c r="E7674" s="8">
        <v>75</v>
      </c>
    </row>
    <row r="7675" s="3" customFormat="1" ht="18.75" spans="1:5">
      <c r="A7675" s="8" t="str">
        <f t="shared" si="134"/>
        <v>250033</v>
      </c>
      <c r="B7675" s="8" t="str">
        <f>"2561408013821"</f>
        <v>2561408013821</v>
      </c>
      <c r="C7675" s="8" t="s">
        <v>14</v>
      </c>
      <c r="D7675" s="9">
        <v>55.05</v>
      </c>
      <c r="E7675" s="8">
        <v>76</v>
      </c>
    </row>
    <row r="7676" s="3" customFormat="1" ht="18.75" spans="1:5">
      <c r="A7676" s="8" t="str">
        <f t="shared" si="134"/>
        <v>250033</v>
      </c>
      <c r="B7676" s="8" t="str">
        <f>"2561408013221"</f>
        <v>2561408013221</v>
      </c>
      <c r="C7676" s="8" t="s">
        <v>14</v>
      </c>
      <c r="D7676" s="9">
        <v>55.01</v>
      </c>
      <c r="E7676" s="8">
        <v>77</v>
      </c>
    </row>
    <row r="7677" s="3" customFormat="1" ht="18.75" spans="1:5">
      <c r="A7677" s="8" t="str">
        <f t="shared" si="134"/>
        <v>250033</v>
      </c>
      <c r="B7677" s="8" t="str">
        <f>"2561408013310"</f>
        <v>2561408013310</v>
      </c>
      <c r="C7677" s="8" t="s">
        <v>14</v>
      </c>
      <c r="D7677" s="9">
        <v>54.95</v>
      </c>
      <c r="E7677" s="8">
        <v>78</v>
      </c>
    </row>
    <row r="7678" s="3" customFormat="1" ht="18.75" spans="1:5">
      <c r="A7678" s="8" t="str">
        <f t="shared" si="134"/>
        <v>250033</v>
      </c>
      <c r="B7678" s="8" t="str">
        <f>"2561408013118"</f>
        <v>2561408013118</v>
      </c>
      <c r="C7678" s="8" t="s">
        <v>14</v>
      </c>
      <c r="D7678" s="9">
        <v>54.7</v>
      </c>
      <c r="E7678" s="8">
        <v>79</v>
      </c>
    </row>
    <row r="7679" s="3" customFormat="1" ht="18.75" spans="1:5">
      <c r="A7679" s="8" t="str">
        <f t="shared" si="134"/>
        <v>250033</v>
      </c>
      <c r="B7679" s="8" t="str">
        <f>"2561408013309"</f>
        <v>2561408013309</v>
      </c>
      <c r="C7679" s="8" t="s">
        <v>14</v>
      </c>
      <c r="D7679" s="9">
        <v>54.69</v>
      </c>
      <c r="E7679" s="8">
        <v>80</v>
      </c>
    </row>
    <row r="7680" s="3" customFormat="1" ht="18.75" spans="1:5">
      <c r="A7680" s="8" t="str">
        <f t="shared" si="134"/>
        <v>250033</v>
      </c>
      <c r="B7680" s="8" t="str">
        <f>"2561408013402"</f>
        <v>2561408013402</v>
      </c>
      <c r="C7680" s="8" t="s">
        <v>14</v>
      </c>
      <c r="D7680" s="9">
        <v>54.33</v>
      </c>
      <c r="E7680" s="8">
        <v>81</v>
      </c>
    </row>
    <row r="7681" s="3" customFormat="1" ht="18.75" spans="1:5">
      <c r="A7681" s="8" t="str">
        <f t="shared" si="134"/>
        <v>250033</v>
      </c>
      <c r="B7681" s="8" t="str">
        <f>"2561408013304"</f>
        <v>2561408013304</v>
      </c>
      <c r="C7681" s="8" t="s">
        <v>14</v>
      </c>
      <c r="D7681" s="9">
        <v>54.19</v>
      </c>
      <c r="E7681" s="8">
        <v>82</v>
      </c>
    </row>
    <row r="7682" s="3" customFormat="1" ht="18.75" spans="1:5">
      <c r="A7682" s="8" t="str">
        <f t="shared" si="134"/>
        <v>250033</v>
      </c>
      <c r="B7682" s="8" t="str">
        <f>"2561408013528"</f>
        <v>2561408013528</v>
      </c>
      <c r="C7682" s="8" t="s">
        <v>14</v>
      </c>
      <c r="D7682" s="9">
        <v>54.16</v>
      </c>
      <c r="E7682" s="8">
        <v>83</v>
      </c>
    </row>
    <row r="7683" s="3" customFormat="1" ht="18.75" spans="1:5">
      <c r="A7683" s="8" t="str">
        <f t="shared" si="134"/>
        <v>250033</v>
      </c>
      <c r="B7683" s="8" t="str">
        <f>"2561408013417"</f>
        <v>2561408013417</v>
      </c>
      <c r="C7683" s="8" t="s">
        <v>14</v>
      </c>
      <c r="D7683" s="9">
        <v>53.96</v>
      </c>
      <c r="E7683" s="8">
        <v>84</v>
      </c>
    </row>
    <row r="7684" s="3" customFormat="1" ht="18.75" spans="1:5">
      <c r="A7684" s="8" t="str">
        <f t="shared" si="134"/>
        <v>250033</v>
      </c>
      <c r="B7684" s="8" t="str">
        <f>"2561408013505"</f>
        <v>2561408013505</v>
      </c>
      <c r="C7684" s="8" t="s">
        <v>14</v>
      </c>
      <c r="D7684" s="9">
        <v>53.94</v>
      </c>
      <c r="E7684" s="8">
        <v>85</v>
      </c>
    </row>
    <row r="7685" s="3" customFormat="1" ht="18.75" spans="1:5">
      <c r="A7685" s="8" t="str">
        <f t="shared" si="134"/>
        <v>250033</v>
      </c>
      <c r="B7685" s="8" t="str">
        <f>"2561408013614"</f>
        <v>2561408013614</v>
      </c>
      <c r="C7685" s="8" t="s">
        <v>14</v>
      </c>
      <c r="D7685" s="9">
        <v>53.61</v>
      </c>
      <c r="E7685" s="8">
        <v>86</v>
      </c>
    </row>
    <row r="7686" s="3" customFormat="1" ht="18.75" spans="1:5">
      <c r="A7686" s="8" t="str">
        <f t="shared" si="134"/>
        <v>250033</v>
      </c>
      <c r="B7686" s="8" t="str">
        <f>"2561408013324"</f>
        <v>2561408013324</v>
      </c>
      <c r="C7686" s="8" t="s">
        <v>14</v>
      </c>
      <c r="D7686" s="9">
        <v>53.49</v>
      </c>
      <c r="E7686" s="8">
        <v>87</v>
      </c>
    </row>
    <row r="7687" s="3" customFormat="1" ht="18.75" spans="1:5">
      <c r="A7687" s="8" t="str">
        <f t="shared" si="134"/>
        <v>250033</v>
      </c>
      <c r="B7687" s="8" t="str">
        <f>"2561408013311"</f>
        <v>2561408013311</v>
      </c>
      <c r="C7687" s="8" t="s">
        <v>14</v>
      </c>
      <c r="D7687" s="9">
        <v>53.48</v>
      </c>
      <c r="E7687" s="8">
        <v>88</v>
      </c>
    </row>
    <row r="7688" s="3" customFormat="1" ht="18.75" spans="1:5">
      <c r="A7688" s="8" t="str">
        <f t="shared" si="134"/>
        <v>250033</v>
      </c>
      <c r="B7688" s="8" t="str">
        <f>"2561408013525"</f>
        <v>2561408013525</v>
      </c>
      <c r="C7688" s="8" t="s">
        <v>14</v>
      </c>
      <c r="D7688" s="9">
        <v>53.39</v>
      </c>
      <c r="E7688" s="8">
        <v>89</v>
      </c>
    </row>
    <row r="7689" s="3" customFormat="1" ht="18.75" spans="1:5">
      <c r="A7689" s="8" t="str">
        <f t="shared" si="134"/>
        <v>250033</v>
      </c>
      <c r="B7689" s="8" t="str">
        <f>"2561408013323"</f>
        <v>2561408013323</v>
      </c>
      <c r="C7689" s="8" t="s">
        <v>14</v>
      </c>
      <c r="D7689" s="9">
        <v>53.08</v>
      </c>
      <c r="E7689" s="8">
        <v>90</v>
      </c>
    </row>
    <row r="7690" s="3" customFormat="1" ht="18.75" spans="1:5">
      <c r="A7690" s="8" t="str">
        <f t="shared" si="134"/>
        <v>250033</v>
      </c>
      <c r="B7690" s="8" t="str">
        <f>"2561408013823"</f>
        <v>2561408013823</v>
      </c>
      <c r="C7690" s="8" t="s">
        <v>14</v>
      </c>
      <c r="D7690" s="9">
        <v>53.08</v>
      </c>
      <c r="E7690" s="8">
        <v>90</v>
      </c>
    </row>
    <row r="7691" s="3" customFormat="1" ht="18.75" spans="1:5">
      <c r="A7691" s="8" t="str">
        <f t="shared" si="134"/>
        <v>250033</v>
      </c>
      <c r="B7691" s="8" t="str">
        <f>"2561408013403"</f>
        <v>2561408013403</v>
      </c>
      <c r="C7691" s="8" t="s">
        <v>14</v>
      </c>
      <c r="D7691" s="9">
        <v>52.97</v>
      </c>
      <c r="E7691" s="8">
        <v>92</v>
      </c>
    </row>
    <row r="7692" s="3" customFormat="1" ht="18.75" spans="1:5">
      <c r="A7692" s="8" t="str">
        <f t="shared" si="134"/>
        <v>250033</v>
      </c>
      <c r="B7692" s="8" t="str">
        <f>"2561408013802"</f>
        <v>2561408013802</v>
      </c>
      <c r="C7692" s="8" t="s">
        <v>14</v>
      </c>
      <c r="D7692" s="9">
        <v>52.76</v>
      </c>
      <c r="E7692" s="8">
        <v>93</v>
      </c>
    </row>
    <row r="7693" s="3" customFormat="1" ht="18.75" spans="1:5">
      <c r="A7693" s="8" t="str">
        <f t="shared" si="134"/>
        <v>250033</v>
      </c>
      <c r="B7693" s="8" t="str">
        <f>"2561408013814"</f>
        <v>2561408013814</v>
      </c>
      <c r="C7693" s="8" t="s">
        <v>14</v>
      </c>
      <c r="D7693" s="9">
        <v>52.64</v>
      </c>
      <c r="E7693" s="8">
        <v>94</v>
      </c>
    </row>
    <row r="7694" s="3" customFormat="1" ht="18.75" spans="1:5">
      <c r="A7694" s="8" t="str">
        <f t="shared" si="134"/>
        <v>250033</v>
      </c>
      <c r="B7694" s="8" t="str">
        <f>"2561408013303"</f>
        <v>2561408013303</v>
      </c>
      <c r="C7694" s="8" t="s">
        <v>14</v>
      </c>
      <c r="D7694" s="9">
        <v>52.38</v>
      </c>
      <c r="E7694" s="8">
        <v>95</v>
      </c>
    </row>
    <row r="7695" s="3" customFormat="1" ht="18.75" spans="1:5">
      <c r="A7695" s="8" t="str">
        <f t="shared" si="134"/>
        <v>250033</v>
      </c>
      <c r="B7695" s="8" t="str">
        <f>"2561408013305"</f>
        <v>2561408013305</v>
      </c>
      <c r="C7695" s="8" t="s">
        <v>14</v>
      </c>
      <c r="D7695" s="9">
        <v>52.36</v>
      </c>
      <c r="E7695" s="8">
        <v>96</v>
      </c>
    </row>
    <row r="7696" s="3" customFormat="1" ht="18.75" spans="1:5">
      <c r="A7696" s="8" t="str">
        <f t="shared" si="134"/>
        <v>250033</v>
      </c>
      <c r="B7696" s="8" t="str">
        <f>"2561408013804"</f>
        <v>2561408013804</v>
      </c>
      <c r="C7696" s="8" t="s">
        <v>14</v>
      </c>
      <c r="D7696" s="9">
        <v>52.24</v>
      </c>
      <c r="E7696" s="8">
        <v>97</v>
      </c>
    </row>
    <row r="7697" s="3" customFormat="1" ht="18.75" spans="1:5">
      <c r="A7697" s="8" t="str">
        <f t="shared" si="134"/>
        <v>250033</v>
      </c>
      <c r="B7697" s="8" t="str">
        <f>"2561408013313"</f>
        <v>2561408013313</v>
      </c>
      <c r="C7697" s="8" t="s">
        <v>14</v>
      </c>
      <c r="D7697" s="9">
        <v>52.05</v>
      </c>
      <c r="E7697" s="8">
        <v>98</v>
      </c>
    </row>
    <row r="7698" s="3" customFormat="1" ht="18.75" spans="1:5">
      <c r="A7698" s="8" t="str">
        <f t="shared" si="134"/>
        <v>250033</v>
      </c>
      <c r="B7698" s="8" t="str">
        <f>"2561408013609"</f>
        <v>2561408013609</v>
      </c>
      <c r="C7698" s="8" t="s">
        <v>14</v>
      </c>
      <c r="D7698" s="9">
        <v>51.64</v>
      </c>
      <c r="E7698" s="8">
        <v>99</v>
      </c>
    </row>
    <row r="7699" s="3" customFormat="1" ht="18.75" spans="1:5">
      <c r="A7699" s="8" t="str">
        <f t="shared" si="134"/>
        <v>250033</v>
      </c>
      <c r="B7699" s="8" t="str">
        <f>"2561408013301"</f>
        <v>2561408013301</v>
      </c>
      <c r="C7699" s="8" t="s">
        <v>14</v>
      </c>
      <c r="D7699" s="9">
        <v>51.6</v>
      </c>
      <c r="E7699" s="8">
        <v>100</v>
      </c>
    </row>
    <row r="7700" s="3" customFormat="1" ht="18.75" spans="1:5">
      <c r="A7700" s="8" t="str">
        <f t="shared" si="134"/>
        <v>250033</v>
      </c>
      <c r="B7700" s="8" t="str">
        <f>"2561408013210"</f>
        <v>2561408013210</v>
      </c>
      <c r="C7700" s="8" t="s">
        <v>14</v>
      </c>
      <c r="D7700" s="9">
        <v>51.44</v>
      </c>
      <c r="E7700" s="8">
        <v>101</v>
      </c>
    </row>
    <row r="7701" s="3" customFormat="1" ht="18.75" spans="1:5">
      <c r="A7701" s="8" t="str">
        <f t="shared" si="134"/>
        <v>250033</v>
      </c>
      <c r="B7701" s="8" t="str">
        <f>"2561408013720"</f>
        <v>2561408013720</v>
      </c>
      <c r="C7701" s="8" t="s">
        <v>14</v>
      </c>
      <c r="D7701" s="9">
        <v>51.36</v>
      </c>
      <c r="E7701" s="8">
        <v>102</v>
      </c>
    </row>
    <row r="7702" s="3" customFormat="1" ht="18.75" spans="1:5">
      <c r="A7702" s="8" t="str">
        <f t="shared" si="134"/>
        <v>250033</v>
      </c>
      <c r="B7702" s="8" t="str">
        <f>"2561408013607"</f>
        <v>2561408013607</v>
      </c>
      <c r="C7702" s="8" t="s">
        <v>14</v>
      </c>
      <c r="D7702" s="9">
        <v>51.32</v>
      </c>
      <c r="E7702" s="8">
        <v>103</v>
      </c>
    </row>
    <row r="7703" s="3" customFormat="1" ht="18.75" spans="1:5">
      <c r="A7703" s="8" t="str">
        <f t="shared" si="134"/>
        <v>250033</v>
      </c>
      <c r="B7703" s="8" t="str">
        <f>"2561408013317"</f>
        <v>2561408013317</v>
      </c>
      <c r="C7703" s="8" t="s">
        <v>14</v>
      </c>
      <c r="D7703" s="9">
        <v>51.3</v>
      </c>
      <c r="E7703" s="8">
        <v>104</v>
      </c>
    </row>
    <row r="7704" s="3" customFormat="1" ht="18.75" spans="1:5">
      <c r="A7704" s="8" t="str">
        <f t="shared" si="134"/>
        <v>250033</v>
      </c>
      <c r="B7704" s="8" t="str">
        <f>"2561408013522"</f>
        <v>2561408013522</v>
      </c>
      <c r="C7704" s="8" t="s">
        <v>14</v>
      </c>
      <c r="D7704" s="9">
        <v>51.17</v>
      </c>
      <c r="E7704" s="8">
        <v>105</v>
      </c>
    </row>
    <row r="7705" s="3" customFormat="1" ht="18.75" spans="1:5">
      <c r="A7705" s="8" t="str">
        <f t="shared" si="134"/>
        <v>250033</v>
      </c>
      <c r="B7705" s="8" t="str">
        <f>"2561408013204"</f>
        <v>2561408013204</v>
      </c>
      <c r="C7705" s="8" t="s">
        <v>14</v>
      </c>
      <c r="D7705" s="9">
        <v>50.9</v>
      </c>
      <c r="E7705" s="8">
        <v>106</v>
      </c>
    </row>
    <row r="7706" s="3" customFormat="1" ht="18.75" spans="1:5">
      <c r="A7706" s="8" t="str">
        <f t="shared" si="134"/>
        <v>250033</v>
      </c>
      <c r="B7706" s="8" t="str">
        <f>"2561408013415"</f>
        <v>2561408013415</v>
      </c>
      <c r="C7706" s="8" t="s">
        <v>14</v>
      </c>
      <c r="D7706" s="9">
        <v>50.58</v>
      </c>
      <c r="E7706" s="8">
        <v>107</v>
      </c>
    </row>
    <row r="7707" s="3" customFormat="1" ht="18.75" spans="1:5">
      <c r="A7707" s="8" t="str">
        <f t="shared" si="134"/>
        <v>250033</v>
      </c>
      <c r="B7707" s="8" t="str">
        <f>"2561408013409"</f>
        <v>2561408013409</v>
      </c>
      <c r="C7707" s="8" t="s">
        <v>14</v>
      </c>
      <c r="D7707" s="9">
        <v>50.18</v>
      </c>
      <c r="E7707" s="8">
        <v>108</v>
      </c>
    </row>
    <row r="7708" s="3" customFormat="1" ht="18.75" spans="1:5">
      <c r="A7708" s="8" t="str">
        <f t="shared" si="134"/>
        <v>250033</v>
      </c>
      <c r="B7708" s="8" t="str">
        <f>"2561408013529"</f>
        <v>2561408013529</v>
      </c>
      <c r="C7708" s="8" t="s">
        <v>14</v>
      </c>
      <c r="D7708" s="9">
        <v>50.17</v>
      </c>
      <c r="E7708" s="8">
        <v>109</v>
      </c>
    </row>
    <row r="7709" s="3" customFormat="1" ht="18.75" spans="1:5">
      <c r="A7709" s="8" t="str">
        <f t="shared" si="134"/>
        <v>250033</v>
      </c>
      <c r="B7709" s="8" t="str">
        <f>"2561408013128"</f>
        <v>2561408013128</v>
      </c>
      <c r="C7709" s="8" t="s">
        <v>14</v>
      </c>
      <c r="D7709" s="9">
        <v>50.14</v>
      </c>
      <c r="E7709" s="8">
        <v>110</v>
      </c>
    </row>
    <row r="7710" s="3" customFormat="1" ht="18.75" spans="1:5">
      <c r="A7710" s="8" t="str">
        <f t="shared" si="134"/>
        <v>250033</v>
      </c>
      <c r="B7710" s="8" t="str">
        <f>"2561408013422"</f>
        <v>2561408013422</v>
      </c>
      <c r="C7710" s="8" t="s">
        <v>14</v>
      </c>
      <c r="D7710" s="9">
        <v>50.07</v>
      </c>
      <c r="E7710" s="8">
        <v>111</v>
      </c>
    </row>
    <row r="7711" s="3" customFormat="1" ht="18.75" spans="1:5">
      <c r="A7711" s="8" t="str">
        <f t="shared" si="134"/>
        <v>250033</v>
      </c>
      <c r="B7711" s="8" t="str">
        <f>"2561408013628"</f>
        <v>2561408013628</v>
      </c>
      <c r="C7711" s="8" t="s">
        <v>14</v>
      </c>
      <c r="D7711" s="9">
        <v>49.98</v>
      </c>
      <c r="E7711" s="8">
        <v>112</v>
      </c>
    </row>
    <row r="7712" s="3" customFormat="1" ht="18.75" spans="1:5">
      <c r="A7712" s="8" t="str">
        <f t="shared" si="134"/>
        <v>250033</v>
      </c>
      <c r="B7712" s="8" t="str">
        <f>"2561408013902"</f>
        <v>2561408013902</v>
      </c>
      <c r="C7712" s="8" t="s">
        <v>14</v>
      </c>
      <c r="D7712" s="9">
        <v>49.98</v>
      </c>
      <c r="E7712" s="8">
        <v>112</v>
      </c>
    </row>
    <row r="7713" s="3" customFormat="1" ht="18.75" spans="1:5">
      <c r="A7713" s="8" t="str">
        <f t="shared" si="134"/>
        <v>250033</v>
      </c>
      <c r="B7713" s="8" t="str">
        <f>"2561408013805"</f>
        <v>2561408013805</v>
      </c>
      <c r="C7713" s="8" t="s">
        <v>14</v>
      </c>
      <c r="D7713" s="9">
        <v>49.69</v>
      </c>
      <c r="E7713" s="8">
        <v>114</v>
      </c>
    </row>
    <row r="7714" s="3" customFormat="1" ht="18.75" spans="1:5">
      <c r="A7714" s="8" t="str">
        <f t="shared" si="134"/>
        <v>250033</v>
      </c>
      <c r="B7714" s="8" t="str">
        <f>"2561408013125"</f>
        <v>2561408013125</v>
      </c>
      <c r="C7714" s="8" t="s">
        <v>14</v>
      </c>
      <c r="D7714" s="9">
        <v>49.47</v>
      </c>
      <c r="E7714" s="8">
        <v>115</v>
      </c>
    </row>
    <row r="7715" s="3" customFormat="1" ht="18.75" spans="1:5">
      <c r="A7715" s="8" t="str">
        <f t="shared" si="134"/>
        <v>250033</v>
      </c>
      <c r="B7715" s="8" t="str">
        <f>"2561408013116"</f>
        <v>2561408013116</v>
      </c>
      <c r="C7715" s="8" t="s">
        <v>14</v>
      </c>
      <c r="D7715" s="9">
        <v>49.21</v>
      </c>
      <c r="E7715" s="8">
        <v>116</v>
      </c>
    </row>
    <row r="7716" s="3" customFormat="1" ht="18.75" spans="1:5">
      <c r="A7716" s="8" t="str">
        <f t="shared" si="134"/>
        <v>250033</v>
      </c>
      <c r="B7716" s="8" t="str">
        <f>"2561408013715"</f>
        <v>2561408013715</v>
      </c>
      <c r="C7716" s="8" t="s">
        <v>14</v>
      </c>
      <c r="D7716" s="9">
        <v>48.95</v>
      </c>
      <c r="E7716" s="8">
        <v>117</v>
      </c>
    </row>
    <row r="7717" s="3" customFormat="1" ht="18.75" spans="1:5">
      <c r="A7717" s="8" t="str">
        <f t="shared" si="134"/>
        <v>250033</v>
      </c>
      <c r="B7717" s="8" t="str">
        <f>"2561408013820"</f>
        <v>2561408013820</v>
      </c>
      <c r="C7717" s="8" t="s">
        <v>14</v>
      </c>
      <c r="D7717" s="9">
        <v>48.89</v>
      </c>
      <c r="E7717" s="8">
        <v>118</v>
      </c>
    </row>
    <row r="7718" s="3" customFormat="1" ht="18.75" spans="1:5">
      <c r="A7718" s="8" t="str">
        <f t="shared" si="134"/>
        <v>250033</v>
      </c>
      <c r="B7718" s="8" t="str">
        <f>"2561408013709"</f>
        <v>2561408013709</v>
      </c>
      <c r="C7718" s="8" t="s">
        <v>14</v>
      </c>
      <c r="D7718" s="9">
        <v>48.83</v>
      </c>
      <c r="E7718" s="8">
        <v>119</v>
      </c>
    </row>
    <row r="7719" s="3" customFormat="1" ht="18.75" spans="1:5">
      <c r="A7719" s="8" t="str">
        <f t="shared" si="134"/>
        <v>250033</v>
      </c>
      <c r="B7719" s="8" t="str">
        <f>"2561408013230"</f>
        <v>2561408013230</v>
      </c>
      <c r="C7719" s="8" t="s">
        <v>14</v>
      </c>
      <c r="D7719" s="9">
        <v>48.8</v>
      </c>
      <c r="E7719" s="8">
        <v>120</v>
      </c>
    </row>
    <row r="7720" s="3" customFormat="1" ht="18.75" spans="1:5">
      <c r="A7720" s="8" t="str">
        <f t="shared" si="134"/>
        <v>250033</v>
      </c>
      <c r="B7720" s="8" t="str">
        <f>"2561408013326"</f>
        <v>2561408013326</v>
      </c>
      <c r="C7720" s="8" t="s">
        <v>14</v>
      </c>
      <c r="D7720" s="9">
        <v>48.54</v>
      </c>
      <c r="E7720" s="8">
        <v>121</v>
      </c>
    </row>
    <row r="7721" s="3" customFormat="1" ht="18.75" spans="1:5">
      <c r="A7721" s="8" t="str">
        <f t="shared" si="134"/>
        <v>250033</v>
      </c>
      <c r="B7721" s="8" t="str">
        <f>"2561408013213"</f>
        <v>2561408013213</v>
      </c>
      <c r="C7721" s="8" t="s">
        <v>14</v>
      </c>
      <c r="D7721" s="9">
        <v>48.41</v>
      </c>
      <c r="E7721" s="8">
        <v>122</v>
      </c>
    </row>
    <row r="7722" s="3" customFormat="1" ht="18.75" spans="1:5">
      <c r="A7722" s="8" t="str">
        <f t="shared" si="134"/>
        <v>250033</v>
      </c>
      <c r="B7722" s="8" t="str">
        <f>"2561408013822"</f>
        <v>2561408013822</v>
      </c>
      <c r="C7722" s="8" t="s">
        <v>14</v>
      </c>
      <c r="D7722" s="9">
        <v>47.03</v>
      </c>
      <c r="E7722" s="8">
        <v>123</v>
      </c>
    </row>
    <row r="7723" s="3" customFormat="1" ht="18.75" spans="1:5">
      <c r="A7723" s="8" t="str">
        <f t="shared" si="134"/>
        <v>250033</v>
      </c>
      <c r="B7723" s="8" t="str">
        <f>"2561408013722"</f>
        <v>2561408013722</v>
      </c>
      <c r="C7723" s="8" t="s">
        <v>14</v>
      </c>
      <c r="D7723" s="9">
        <v>46.78</v>
      </c>
      <c r="E7723" s="8">
        <v>124</v>
      </c>
    </row>
    <row r="7724" s="3" customFormat="1" ht="18.75" spans="1:5">
      <c r="A7724" s="8" t="str">
        <f t="shared" si="134"/>
        <v>250033</v>
      </c>
      <c r="B7724" s="8" t="str">
        <f>"2561408013905"</f>
        <v>2561408013905</v>
      </c>
      <c r="C7724" s="8" t="s">
        <v>14</v>
      </c>
      <c r="D7724" s="9">
        <v>46.58</v>
      </c>
      <c r="E7724" s="8">
        <v>125</v>
      </c>
    </row>
    <row r="7725" s="3" customFormat="1" ht="18.75" spans="1:5">
      <c r="A7725" s="8" t="str">
        <f t="shared" si="134"/>
        <v>250033</v>
      </c>
      <c r="B7725" s="8" t="str">
        <f>"2561408013827"</f>
        <v>2561408013827</v>
      </c>
      <c r="C7725" s="8" t="s">
        <v>14</v>
      </c>
      <c r="D7725" s="9">
        <v>46.34</v>
      </c>
      <c r="E7725" s="8">
        <v>126</v>
      </c>
    </row>
    <row r="7726" s="3" customFormat="1" ht="18.75" spans="1:5">
      <c r="A7726" s="8" t="str">
        <f t="shared" si="134"/>
        <v>250033</v>
      </c>
      <c r="B7726" s="8" t="str">
        <f>"2561408013202"</f>
        <v>2561408013202</v>
      </c>
      <c r="C7726" s="8" t="s">
        <v>14</v>
      </c>
      <c r="D7726" s="9">
        <v>46.27</v>
      </c>
      <c r="E7726" s="8">
        <v>127</v>
      </c>
    </row>
    <row r="7727" s="3" customFormat="1" ht="18.75" spans="1:5">
      <c r="A7727" s="8" t="str">
        <f t="shared" si="134"/>
        <v>250033</v>
      </c>
      <c r="B7727" s="8" t="str">
        <f>"2561408013407"</f>
        <v>2561408013407</v>
      </c>
      <c r="C7727" s="8" t="s">
        <v>14</v>
      </c>
      <c r="D7727" s="9">
        <v>46.1</v>
      </c>
      <c r="E7727" s="8">
        <v>128</v>
      </c>
    </row>
    <row r="7728" s="3" customFormat="1" ht="18.75" spans="1:5">
      <c r="A7728" s="8" t="str">
        <f t="shared" ref="A7728:A7791" si="135">"250033"</f>
        <v>250033</v>
      </c>
      <c r="B7728" s="8" t="str">
        <f>"2561408013130"</f>
        <v>2561408013130</v>
      </c>
      <c r="C7728" s="8" t="s">
        <v>14</v>
      </c>
      <c r="D7728" s="9">
        <v>46.02</v>
      </c>
      <c r="E7728" s="8">
        <v>129</v>
      </c>
    </row>
    <row r="7729" s="3" customFormat="1" ht="18.75" spans="1:5">
      <c r="A7729" s="8" t="str">
        <f t="shared" si="135"/>
        <v>250033</v>
      </c>
      <c r="B7729" s="8" t="str">
        <f>"2561408013413"</f>
        <v>2561408013413</v>
      </c>
      <c r="C7729" s="8" t="s">
        <v>14</v>
      </c>
      <c r="D7729" s="9">
        <v>46.02</v>
      </c>
      <c r="E7729" s="8">
        <v>129</v>
      </c>
    </row>
    <row r="7730" s="3" customFormat="1" ht="18.75" spans="1:5">
      <c r="A7730" s="8" t="str">
        <f t="shared" si="135"/>
        <v>250033</v>
      </c>
      <c r="B7730" s="8" t="str">
        <f>"2561408013527"</f>
        <v>2561408013527</v>
      </c>
      <c r="C7730" s="8" t="s">
        <v>14</v>
      </c>
      <c r="D7730" s="9">
        <v>45.84</v>
      </c>
      <c r="E7730" s="8">
        <v>131</v>
      </c>
    </row>
    <row r="7731" s="3" customFormat="1" ht="18.75" spans="1:5">
      <c r="A7731" s="8" t="str">
        <f t="shared" si="135"/>
        <v>250033</v>
      </c>
      <c r="B7731" s="8" t="str">
        <f>"2561408013711"</f>
        <v>2561408013711</v>
      </c>
      <c r="C7731" s="8" t="s">
        <v>14</v>
      </c>
      <c r="D7731" s="9">
        <v>45.44</v>
      </c>
      <c r="E7731" s="8">
        <v>132</v>
      </c>
    </row>
    <row r="7732" s="3" customFormat="1" ht="18.75" spans="1:5">
      <c r="A7732" s="8" t="str">
        <f t="shared" si="135"/>
        <v>250033</v>
      </c>
      <c r="B7732" s="8" t="str">
        <f>"2561408013714"</f>
        <v>2561408013714</v>
      </c>
      <c r="C7732" s="8" t="s">
        <v>14</v>
      </c>
      <c r="D7732" s="9">
        <v>45.42</v>
      </c>
      <c r="E7732" s="8">
        <v>133</v>
      </c>
    </row>
    <row r="7733" s="3" customFormat="1" ht="18.75" spans="1:5">
      <c r="A7733" s="8" t="str">
        <f t="shared" si="135"/>
        <v>250033</v>
      </c>
      <c r="B7733" s="8" t="str">
        <f>"2561408013420"</f>
        <v>2561408013420</v>
      </c>
      <c r="C7733" s="8" t="s">
        <v>14</v>
      </c>
      <c r="D7733" s="9">
        <v>45.1</v>
      </c>
      <c r="E7733" s="8">
        <v>134</v>
      </c>
    </row>
    <row r="7734" s="3" customFormat="1" ht="18.75" spans="1:5">
      <c r="A7734" s="8" t="str">
        <f t="shared" si="135"/>
        <v>250033</v>
      </c>
      <c r="B7734" s="8" t="str">
        <f>"2561408013517"</f>
        <v>2561408013517</v>
      </c>
      <c r="C7734" s="8" t="s">
        <v>14</v>
      </c>
      <c r="D7734" s="9">
        <v>45.01</v>
      </c>
      <c r="E7734" s="8">
        <v>135</v>
      </c>
    </row>
    <row r="7735" s="3" customFormat="1" ht="18.75" spans="1:5">
      <c r="A7735" s="8" t="str">
        <f t="shared" si="135"/>
        <v>250033</v>
      </c>
      <c r="B7735" s="8" t="str">
        <f>"2561408013626"</f>
        <v>2561408013626</v>
      </c>
      <c r="C7735" s="8" t="s">
        <v>14</v>
      </c>
      <c r="D7735" s="9">
        <v>44.92</v>
      </c>
      <c r="E7735" s="8">
        <v>136</v>
      </c>
    </row>
    <row r="7736" s="3" customFormat="1" ht="18.75" spans="1:5">
      <c r="A7736" s="8" t="str">
        <f t="shared" si="135"/>
        <v>250033</v>
      </c>
      <c r="B7736" s="8" t="str">
        <f>"2561408013904"</f>
        <v>2561408013904</v>
      </c>
      <c r="C7736" s="8" t="s">
        <v>14</v>
      </c>
      <c r="D7736" s="9">
        <v>44.82</v>
      </c>
      <c r="E7736" s="8">
        <v>137</v>
      </c>
    </row>
    <row r="7737" s="3" customFormat="1" ht="18.75" spans="1:5">
      <c r="A7737" s="8" t="str">
        <f t="shared" si="135"/>
        <v>250033</v>
      </c>
      <c r="B7737" s="8" t="str">
        <f>"2561408013627"</f>
        <v>2561408013627</v>
      </c>
      <c r="C7737" s="8" t="s">
        <v>14</v>
      </c>
      <c r="D7737" s="9">
        <v>44.58</v>
      </c>
      <c r="E7737" s="8">
        <v>138</v>
      </c>
    </row>
    <row r="7738" s="3" customFormat="1" ht="18.75" spans="1:5">
      <c r="A7738" s="8" t="str">
        <f t="shared" si="135"/>
        <v>250033</v>
      </c>
      <c r="B7738" s="8" t="str">
        <f>"2561408013315"</f>
        <v>2561408013315</v>
      </c>
      <c r="C7738" s="8" t="s">
        <v>14</v>
      </c>
      <c r="D7738" s="9">
        <v>43.28</v>
      </c>
      <c r="E7738" s="8">
        <v>139</v>
      </c>
    </row>
    <row r="7739" s="3" customFormat="1" ht="18.75" spans="1:5">
      <c r="A7739" s="8" t="str">
        <f t="shared" si="135"/>
        <v>250033</v>
      </c>
      <c r="B7739" s="8" t="str">
        <f>"2561408013725"</f>
        <v>2561408013725</v>
      </c>
      <c r="C7739" s="8" t="s">
        <v>14</v>
      </c>
      <c r="D7739" s="9">
        <v>42.05</v>
      </c>
      <c r="E7739" s="8">
        <v>140</v>
      </c>
    </row>
    <row r="7740" s="3" customFormat="1" ht="18.75" spans="1:5">
      <c r="A7740" s="8" t="str">
        <f t="shared" si="135"/>
        <v>250033</v>
      </c>
      <c r="B7740" s="8" t="str">
        <f>"2561408013419"</f>
        <v>2561408013419</v>
      </c>
      <c r="C7740" s="8" t="s">
        <v>14</v>
      </c>
      <c r="D7740" s="9">
        <v>41.61</v>
      </c>
      <c r="E7740" s="8">
        <v>141</v>
      </c>
    </row>
    <row r="7741" s="3" customFormat="1" ht="18.75" spans="1:5">
      <c r="A7741" s="8" t="str">
        <f t="shared" si="135"/>
        <v>250033</v>
      </c>
      <c r="B7741" s="8" t="str">
        <f>"2561408013215"</f>
        <v>2561408013215</v>
      </c>
      <c r="C7741" s="8" t="s">
        <v>14</v>
      </c>
      <c r="D7741" s="9">
        <v>41.14</v>
      </c>
      <c r="E7741" s="8">
        <v>142</v>
      </c>
    </row>
    <row r="7742" s="3" customFormat="1" ht="18.75" spans="1:5">
      <c r="A7742" s="8" t="str">
        <f t="shared" si="135"/>
        <v>250033</v>
      </c>
      <c r="B7742" s="8" t="str">
        <f>"2561408013803"</f>
        <v>2561408013803</v>
      </c>
      <c r="C7742" s="8" t="s">
        <v>14</v>
      </c>
      <c r="D7742" s="9">
        <v>40.81</v>
      </c>
      <c r="E7742" s="8">
        <v>143</v>
      </c>
    </row>
    <row r="7743" s="3" customFormat="1" ht="18.75" spans="1:5">
      <c r="A7743" s="8" t="str">
        <f t="shared" si="135"/>
        <v>250033</v>
      </c>
      <c r="B7743" s="8" t="str">
        <f>"2561408013511"</f>
        <v>2561408013511</v>
      </c>
      <c r="C7743" s="8" t="s">
        <v>14</v>
      </c>
      <c r="D7743" s="9">
        <v>40.56</v>
      </c>
      <c r="E7743" s="8">
        <v>144</v>
      </c>
    </row>
    <row r="7744" s="3" customFormat="1" ht="18.75" spans="1:5">
      <c r="A7744" s="8" t="str">
        <f t="shared" si="135"/>
        <v>250033</v>
      </c>
      <c r="B7744" s="8" t="str">
        <f>"2561408013109"</f>
        <v>2561408013109</v>
      </c>
      <c r="C7744" s="8" t="s">
        <v>14</v>
      </c>
      <c r="D7744" s="9">
        <v>39.5</v>
      </c>
      <c r="E7744" s="8">
        <v>145</v>
      </c>
    </row>
    <row r="7745" s="3" customFormat="1" ht="18.75" spans="1:5">
      <c r="A7745" s="8" t="str">
        <f t="shared" si="135"/>
        <v>250033</v>
      </c>
      <c r="B7745" s="8" t="str">
        <f>"2561408013112"</f>
        <v>2561408013112</v>
      </c>
      <c r="C7745" s="8" t="s">
        <v>14</v>
      </c>
      <c r="D7745" s="9">
        <v>32.19</v>
      </c>
      <c r="E7745" s="8">
        <v>146</v>
      </c>
    </row>
    <row r="7746" s="3" customFormat="1" ht="18.75" spans="1:5">
      <c r="A7746" s="8" t="str">
        <f t="shared" si="135"/>
        <v>250033</v>
      </c>
      <c r="B7746" s="8" t="str">
        <f>"2561408013727"</f>
        <v>2561408013727</v>
      </c>
      <c r="C7746" s="8" t="s">
        <v>14</v>
      </c>
      <c r="D7746" s="9">
        <v>25.08</v>
      </c>
      <c r="E7746" s="8">
        <v>147</v>
      </c>
    </row>
    <row r="7747" s="3" customFormat="1" ht="18.75" spans="1:5">
      <c r="A7747" s="8" t="str">
        <f t="shared" si="135"/>
        <v>250033</v>
      </c>
      <c r="B7747" s="8" t="str">
        <f>"2561408013227"</f>
        <v>2561408013227</v>
      </c>
      <c r="C7747" s="8" t="s">
        <v>14</v>
      </c>
      <c r="D7747" s="9">
        <v>24.76</v>
      </c>
      <c r="E7747" s="8">
        <v>148</v>
      </c>
    </row>
    <row r="7748" s="3" customFormat="1" ht="18.75" spans="1:5">
      <c r="A7748" s="8" t="str">
        <f t="shared" si="135"/>
        <v>250033</v>
      </c>
      <c r="B7748" s="8" t="str">
        <f>"2561408013110"</f>
        <v>2561408013110</v>
      </c>
      <c r="C7748" s="8" t="s">
        <v>14</v>
      </c>
      <c r="D7748" s="9">
        <v>0</v>
      </c>
      <c r="E7748" s="8">
        <v>149</v>
      </c>
    </row>
    <row r="7749" s="3" customFormat="1" ht="18.75" spans="1:5">
      <c r="A7749" s="8" t="str">
        <f t="shared" si="135"/>
        <v>250033</v>
      </c>
      <c r="B7749" s="8" t="str">
        <f>"2561408013111"</f>
        <v>2561408013111</v>
      </c>
      <c r="C7749" s="8" t="s">
        <v>14</v>
      </c>
      <c r="D7749" s="9">
        <v>0</v>
      </c>
      <c r="E7749" s="8">
        <v>149</v>
      </c>
    </row>
    <row r="7750" s="3" customFormat="1" ht="18.75" spans="1:5">
      <c r="A7750" s="8" t="str">
        <f t="shared" si="135"/>
        <v>250033</v>
      </c>
      <c r="B7750" s="8" t="str">
        <f>"2561408013113"</f>
        <v>2561408013113</v>
      </c>
      <c r="C7750" s="8" t="s">
        <v>14</v>
      </c>
      <c r="D7750" s="9">
        <v>0</v>
      </c>
      <c r="E7750" s="8">
        <v>149</v>
      </c>
    </row>
    <row r="7751" s="3" customFormat="1" ht="18.75" spans="1:5">
      <c r="A7751" s="8" t="str">
        <f t="shared" si="135"/>
        <v>250033</v>
      </c>
      <c r="B7751" s="8" t="str">
        <f>"2561408013117"</f>
        <v>2561408013117</v>
      </c>
      <c r="C7751" s="8" t="s">
        <v>14</v>
      </c>
      <c r="D7751" s="9">
        <v>0</v>
      </c>
      <c r="E7751" s="8">
        <v>149</v>
      </c>
    </row>
    <row r="7752" s="3" customFormat="1" ht="18.75" spans="1:5">
      <c r="A7752" s="8" t="str">
        <f t="shared" si="135"/>
        <v>250033</v>
      </c>
      <c r="B7752" s="8" t="str">
        <f>"2561408013120"</f>
        <v>2561408013120</v>
      </c>
      <c r="C7752" s="8" t="s">
        <v>14</v>
      </c>
      <c r="D7752" s="9">
        <v>0</v>
      </c>
      <c r="E7752" s="8">
        <v>149</v>
      </c>
    </row>
    <row r="7753" s="3" customFormat="1" ht="18.75" spans="1:5">
      <c r="A7753" s="8" t="str">
        <f t="shared" si="135"/>
        <v>250033</v>
      </c>
      <c r="B7753" s="8" t="str">
        <f>"2561408013121"</f>
        <v>2561408013121</v>
      </c>
      <c r="C7753" s="8" t="s">
        <v>14</v>
      </c>
      <c r="D7753" s="9">
        <v>0</v>
      </c>
      <c r="E7753" s="8">
        <v>149</v>
      </c>
    </row>
    <row r="7754" s="3" customFormat="1" ht="18.75" spans="1:5">
      <c r="A7754" s="8" t="str">
        <f t="shared" si="135"/>
        <v>250033</v>
      </c>
      <c r="B7754" s="8" t="str">
        <f>"2561408013123"</f>
        <v>2561408013123</v>
      </c>
      <c r="C7754" s="8" t="s">
        <v>14</v>
      </c>
      <c r="D7754" s="9">
        <v>0</v>
      </c>
      <c r="E7754" s="8">
        <v>149</v>
      </c>
    </row>
    <row r="7755" s="3" customFormat="1" ht="18.75" spans="1:5">
      <c r="A7755" s="8" t="str">
        <f t="shared" si="135"/>
        <v>250033</v>
      </c>
      <c r="B7755" s="8" t="str">
        <f>"2561408013127"</f>
        <v>2561408013127</v>
      </c>
      <c r="C7755" s="8" t="s">
        <v>14</v>
      </c>
      <c r="D7755" s="9">
        <v>0</v>
      </c>
      <c r="E7755" s="8">
        <v>149</v>
      </c>
    </row>
    <row r="7756" s="3" customFormat="1" ht="18.75" spans="1:5">
      <c r="A7756" s="8" t="str">
        <f t="shared" si="135"/>
        <v>250033</v>
      </c>
      <c r="B7756" s="8" t="str">
        <f>"2561408013203"</f>
        <v>2561408013203</v>
      </c>
      <c r="C7756" s="8" t="s">
        <v>14</v>
      </c>
      <c r="D7756" s="9">
        <v>0</v>
      </c>
      <c r="E7756" s="8">
        <v>149</v>
      </c>
    </row>
    <row r="7757" s="3" customFormat="1" ht="18.75" spans="1:5">
      <c r="A7757" s="8" t="str">
        <f t="shared" si="135"/>
        <v>250033</v>
      </c>
      <c r="B7757" s="8" t="str">
        <f>"2561408013207"</f>
        <v>2561408013207</v>
      </c>
      <c r="C7757" s="8" t="s">
        <v>14</v>
      </c>
      <c r="D7757" s="9">
        <v>0</v>
      </c>
      <c r="E7757" s="8">
        <v>149</v>
      </c>
    </row>
    <row r="7758" s="3" customFormat="1" ht="18.75" spans="1:5">
      <c r="A7758" s="8" t="str">
        <f t="shared" si="135"/>
        <v>250033</v>
      </c>
      <c r="B7758" s="8" t="str">
        <f>"2561408013208"</f>
        <v>2561408013208</v>
      </c>
      <c r="C7758" s="8" t="s">
        <v>14</v>
      </c>
      <c r="D7758" s="9">
        <v>0</v>
      </c>
      <c r="E7758" s="8">
        <v>149</v>
      </c>
    </row>
    <row r="7759" s="3" customFormat="1" ht="18.75" spans="1:5">
      <c r="A7759" s="8" t="str">
        <f t="shared" si="135"/>
        <v>250033</v>
      </c>
      <c r="B7759" s="8" t="str">
        <f>"2561408013209"</f>
        <v>2561408013209</v>
      </c>
      <c r="C7759" s="8" t="s">
        <v>14</v>
      </c>
      <c r="D7759" s="9">
        <v>0</v>
      </c>
      <c r="E7759" s="8">
        <v>149</v>
      </c>
    </row>
    <row r="7760" s="3" customFormat="1" ht="18.75" spans="1:5">
      <c r="A7760" s="8" t="str">
        <f t="shared" si="135"/>
        <v>250033</v>
      </c>
      <c r="B7760" s="8" t="str">
        <f>"2561408013220"</f>
        <v>2561408013220</v>
      </c>
      <c r="C7760" s="8" t="s">
        <v>14</v>
      </c>
      <c r="D7760" s="9">
        <v>0</v>
      </c>
      <c r="E7760" s="8">
        <v>149</v>
      </c>
    </row>
    <row r="7761" s="3" customFormat="1" ht="18.75" spans="1:5">
      <c r="A7761" s="8" t="str">
        <f t="shared" si="135"/>
        <v>250033</v>
      </c>
      <c r="B7761" s="8" t="str">
        <f>"2561408013229"</f>
        <v>2561408013229</v>
      </c>
      <c r="C7761" s="8" t="s">
        <v>14</v>
      </c>
      <c r="D7761" s="9">
        <v>0</v>
      </c>
      <c r="E7761" s="8">
        <v>149</v>
      </c>
    </row>
    <row r="7762" s="3" customFormat="1" ht="18.75" spans="1:5">
      <c r="A7762" s="8" t="str">
        <f t="shared" si="135"/>
        <v>250033</v>
      </c>
      <c r="B7762" s="8" t="str">
        <f>"2561408013302"</f>
        <v>2561408013302</v>
      </c>
      <c r="C7762" s="8" t="s">
        <v>14</v>
      </c>
      <c r="D7762" s="9">
        <v>0</v>
      </c>
      <c r="E7762" s="8">
        <v>149</v>
      </c>
    </row>
    <row r="7763" s="3" customFormat="1" ht="18.75" spans="1:5">
      <c r="A7763" s="8" t="str">
        <f t="shared" si="135"/>
        <v>250033</v>
      </c>
      <c r="B7763" s="8" t="str">
        <f>"2561408013307"</f>
        <v>2561408013307</v>
      </c>
      <c r="C7763" s="8" t="s">
        <v>14</v>
      </c>
      <c r="D7763" s="9">
        <v>0</v>
      </c>
      <c r="E7763" s="8">
        <v>149</v>
      </c>
    </row>
    <row r="7764" s="3" customFormat="1" ht="18.75" spans="1:5">
      <c r="A7764" s="8" t="str">
        <f t="shared" si="135"/>
        <v>250033</v>
      </c>
      <c r="B7764" s="8" t="str">
        <f>"2561408013308"</f>
        <v>2561408013308</v>
      </c>
      <c r="C7764" s="8" t="s">
        <v>14</v>
      </c>
      <c r="D7764" s="9">
        <v>0</v>
      </c>
      <c r="E7764" s="8">
        <v>149</v>
      </c>
    </row>
    <row r="7765" s="3" customFormat="1" ht="18.75" spans="1:5">
      <c r="A7765" s="8" t="str">
        <f t="shared" si="135"/>
        <v>250033</v>
      </c>
      <c r="B7765" s="8" t="str">
        <f>"2561408013314"</f>
        <v>2561408013314</v>
      </c>
      <c r="C7765" s="8" t="s">
        <v>14</v>
      </c>
      <c r="D7765" s="9">
        <v>0</v>
      </c>
      <c r="E7765" s="8">
        <v>149</v>
      </c>
    </row>
    <row r="7766" s="3" customFormat="1" ht="18.75" spans="1:5">
      <c r="A7766" s="8" t="str">
        <f t="shared" si="135"/>
        <v>250033</v>
      </c>
      <c r="B7766" s="8" t="str">
        <f>"2561408013316"</f>
        <v>2561408013316</v>
      </c>
      <c r="C7766" s="8" t="s">
        <v>14</v>
      </c>
      <c r="D7766" s="9">
        <v>0</v>
      </c>
      <c r="E7766" s="8">
        <v>149</v>
      </c>
    </row>
    <row r="7767" s="3" customFormat="1" ht="18.75" spans="1:5">
      <c r="A7767" s="8" t="str">
        <f t="shared" si="135"/>
        <v>250033</v>
      </c>
      <c r="B7767" s="8" t="str">
        <f>"2561408013318"</f>
        <v>2561408013318</v>
      </c>
      <c r="C7767" s="8" t="s">
        <v>14</v>
      </c>
      <c r="D7767" s="9">
        <v>0</v>
      </c>
      <c r="E7767" s="8">
        <v>149</v>
      </c>
    </row>
    <row r="7768" s="3" customFormat="1" ht="18.75" spans="1:5">
      <c r="A7768" s="8" t="str">
        <f t="shared" si="135"/>
        <v>250033</v>
      </c>
      <c r="B7768" s="8" t="str">
        <f>"2561408013320"</f>
        <v>2561408013320</v>
      </c>
      <c r="C7768" s="8" t="s">
        <v>14</v>
      </c>
      <c r="D7768" s="9">
        <v>0</v>
      </c>
      <c r="E7768" s="8">
        <v>149</v>
      </c>
    </row>
    <row r="7769" s="3" customFormat="1" ht="18.75" spans="1:5">
      <c r="A7769" s="8" t="str">
        <f t="shared" si="135"/>
        <v>250033</v>
      </c>
      <c r="B7769" s="8" t="str">
        <f>"2561408013325"</f>
        <v>2561408013325</v>
      </c>
      <c r="C7769" s="8" t="s">
        <v>14</v>
      </c>
      <c r="D7769" s="9">
        <v>0</v>
      </c>
      <c r="E7769" s="8">
        <v>149</v>
      </c>
    </row>
    <row r="7770" s="3" customFormat="1" ht="18.75" spans="1:5">
      <c r="A7770" s="8" t="str">
        <f t="shared" si="135"/>
        <v>250033</v>
      </c>
      <c r="B7770" s="8" t="str">
        <f>"2561408013327"</f>
        <v>2561408013327</v>
      </c>
      <c r="C7770" s="8" t="s">
        <v>14</v>
      </c>
      <c r="D7770" s="9">
        <v>0</v>
      </c>
      <c r="E7770" s="8">
        <v>149</v>
      </c>
    </row>
    <row r="7771" s="3" customFormat="1" ht="18.75" spans="1:5">
      <c r="A7771" s="8" t="str">
        <f t="shared" si="135"/>
        <v>250033</v>
      </c>
      <c r="B7771" s="8" t="str">
        <f>"2561408013329"</f>
        <v>2561408013329</v>
      </c>
      <c r="C7771" s="8" t="s">
        <v>14</v>
      </c>
      <c r="D7771" s="9">
        <v>0</v>
      </c>
      <c r="E7771" s="8">
        <v>149</v>
      </c>
    </row>
    <row r="7772" s="3" customFormat="1" ht="18.75" spans="1:5">
      <c r="A7772" s="8" t="str">
        <f t="shared" si="135"/>
        <v>250033</v>
      </c>
      <c r="B7772" s="8" t="str">
        <f>"2561408013405"</f>
        <v>2561408013405</v>
      </c>
      <c r="C7772" s="8" t="s">
        <v>14</v>
      </c>
      <c r="D7772" s="9">
        <v>0</v>
      </c>
      <c r="E7772" s="8">
        <v>149</v>
      </c>
    </row>
    <row r="7773" s="3" customFormat="1" ht="18.75" spans="1:5">
      <c r="A7773" s="8" t="str">
        <f t="shared" si="135"/>
        <v>250033</v>
      </c>
      <c r="B7773" s="8" t="str">
        <f>"2561408013406"</f>
        <v>2561408013406</v>
      </c>
      <c r="C7773" s="8" t="s">
        <v>14</v>
      </c>
      <c r="D7773" s="9">
        <v>0</v>
      </c>
      <c r="E7773" s="8">
        <v>149</v>
      </c>
    </row>
    <row r="7774" s="3" customFormat="1" ht="18.75" spans="1:5">
      <c r="A7774" s="8" t="str">
        <f t="shared" si="135"/>
        <v>250033</v>
      </c>
      <c r="B7774" s="8" t="str">
        <f>"2561408013408"</f>
        <v>2561408013408</v>
      </c>
      <c r="C7774" s="8" t="s">
        <v>14</v>
      </c>
      <c r="D7774" s="9">
        <v>0</v>
      </c>
      <c r="E7774" s="8">
        <v>149</v>
      </c>
    </row>
    <row r="7775" s="3" customFormat="1" ht="18.75" spans="1:5">
      <c r="A7775" s="8" t="str">
        <f t="shared" si="135"/>
        <v>250033</v>
      </c>
      <c r="B7775" s="8" t="str">
        <f>"2561408013410"</f>
        <v>2561408013410</v>
      </c>
      <c r="C7775" s="8" t="s">
        <v>14</v>
      </c>
      <c r="D7775" s="9">
        <v>0</v>
      </c>
      <c r="E7775" s="8">
        <v>149</v>
      </c>
    </row>
    <row r="7776" s="3" customFormat="1" ht="18.75" spans="1:5">
      <c r="A7776" s="8" t="str">
        <f t="shared" si="135"/>
        <v>250033</v>
      </c>
      <c r="B7776" s="8" t="str">
        <f>"2561408013411"</f>
        <v>2561408013411</v>
      </c>
      <c r="C7776" s="8" t="s">
        <v>14</v>
      </c>
      <c r="D7776" s="9">
        <v>0</v>
      </c>
      <c r="E7776" s="8">
        <v>149</v>
      </c>
    </row>
    <row r="7777" s="3" customFormat="1" ht="18.75" spans="1:5">
      <c r="A7777" s="8" t="str">
        <f t="shared" si="135"/>
        <v>250033</v>
      </c>
      <c r="B7777" s="8" t="str">
        <f>"2561408013412"</f>
        <v>2561408013412</v>
      </c>
      <c r="C7777" s="8" t="s">
        <v>14</v>
      </c>
      <c r="D7777" s="9">
        <v>0</v>
      </c>
      <c r="E7777" s="8">
        <v>149</v>
      </c>
    </row>
    <row r="7778" s="3" customFormat="1" ht="18.75" spans="1:5">
      <c r="A7778" s="8" t="str">
        <f t="shared" si="135"/>
        <v>250033</v>
      </c>
      <c r="B7778" s="8" t="str">
        <f>"2561408013418"</f>
        <v>2561408013418</v>
      </c>
      <c r="C7778" s="8" t="s">
        <v>14</v>
      </c>
      <c r="D7778" s="9">
        <v>0</v>
      </c>
      <c r="E7778" s="8">
        <v>149</v>
      </c>
    </row>
    <row r="7779" s="3" customFormat="1" ht="18.75" spans="1:5">
      <c r="A7779" s="8" t="str">
        <f t="shared" si="135"/>
        <v>250033</v>
      </c>
      <c r="B7779" s="8" t="str">
        <f>"2561408013421"</f>
        <v>2561408013421</v>
      </c>
      <c r="C7779" s="8" t="s">
        <v>14</v>
      </c>
      <c r="D7779" s="9">
        <v>0</v>
      </c>
      <c r="E7779" s="8">
        <v>149</v>
      </c>
    </row>
    <row r="7780" s="3" customFormat="1" ht="18.75" spans="1:5">
      <c r="A7780" s="8" t="str">
        <f t="shared" si="135"/>
        <v>250033</v>
      </c>
      <c r="B7780" s="8" t="str">
        <f>"2561408013423"</f>
        <v>2561408013423</v>
      </c>
      <c r="C7780" s="8" t="s">
        <v>14</v>
      </c>
      <c r="D7780" s="9">
        <v>0</v>
      </c>
      <c r="E7780" s="8">
        <v>149</v>
      </c>
    </row>
    <row r="7781" s="3" customFormat="1" ht="18.75" spans="1:5">
      <c r="A7781" s="8" t="str">
        <f t="shared" si="135"/>
        <v>250033</v>
      </c>
      <c r="B7781" s="8" t="str">
        <f>"2561408013424"</f>
        <v>2561408013424</v>
      </c>
      <c r="C7781" s="8" t="s">
        <v>14</v>
      </c>
      <c r="D7781" s="9">
        <v>0</v>
      </c>
      <c r="E7781" s="8">
        <v>149</v>
      </c>
    </row>
    <row r="7782" s="3" customFormat="1" ht="18.75" spans="1:5">
      <c r="A7782" s="8" t="str">
        <f t="shared" si="135"/>
        <v>250033</v>
      </c>
      <c r="B7782" s="8" t="str">
        <f>"2561408013425"</f>
        <v>2561408013425</v>
      </c>
      <c r="C7782" s="8" t="s">
        <v>14</v>
      </c>
      <c r="D7782" s="9">
        <v>0</v>
      </c>
      <c r="E7782" s="8">
        <v>149</v>
      </c>
    </row>
    <row r="7783" s="3" customFormat="1" ht="18.75" spans="1:5">
      <c r="A7783" s="8" t="str">
        <f t="shared" si="135"/>
        <v>250033</v>
      </c>
      <c r="B7783" s="8" t="str">
        <f>"2561408013426"</f>
        <v>2561408013426</v>
      </c>
      <c r="C7783" s="8" t="s">
        <v>14</v>
      </c>
      <c r="D7783" s="9">
        <v>0</v>
      </c>
      <c r="E7783" s="8">
        <v>149</v>
      </c>
    </row>
    <row r="7784" s="3" customFormat="1" ht="18.75" spans="1:5">
      <c r="A7784" s="8" t="str">
        <f t="shared" si="135"/>
        <v>250033</v>
      </c>
      <c r="B7784" s="8" t="str">
        <f>"2561408013502"</f>
        <v>2561408013502</v>
      </c>
      <c r="C7784" s="8" t="s">
        <v>14</v>
      </c>
      <c r="D7784" s="9">
        <v>0</v>
      </c>
      <c r="E7784" s="8">
        <v>149</v>
      </c>
    </row>
    <row r="7785" s="3" customFormat="1" ht="18.75" spans="1:5">
      <c r="A7785" s="8" t="str">
        <f t="shared" si="135"/>
        <v>250033</v>
      </c>
      <c r="B7785" s="8" t="str">
        <f>"2561408013503"</f>
        <v>2561408013503</v>
      </c>
      <c r="C7785" s="8" t="s">
        <v>14</v>
      </c>
      <c r="D7785" s="9">
        <v>0</v>
      </c>
      <c r="E7785" s="8">
        <v>149</v>
      </c>
    </row>
    <row r="7786" s="3" customFormat="1" ht="18.75" spans="1:5">
      <c r="A7786" s="8" t="str">
        <f t="shared" si="135"/>
        <v>250033</v>
      </c>
      <c r="B7786" s="8" t="str">
        <f>"2561408013504"</f>
        <v>2561408013504</v>
      </c>
      <c r="C7786" s="8" t="s">
        <v>14</v>
      </c>
      <c r="D7786" s="9">
        <v>0</v>
      </c>
      <c r="E7786" s="8">
        <v>149</v>
      </c>
    </row>
    <row r="7787" s="3" customFormat="1" ht="18.75" spans="1:5">
      <c r="A7787" s="8" t="str">
        <f t="shared" si="135"/>
        <v>250033</v>
      </c>
      <c r="B7787" s="8" t="str">
        <f>"2561408013506"</f>
        <v>2561408013506</v>
      </c>
      <c r="C7787" s="8" t="s">
        <v>14</v>
      </c>
      <c r="D7787" s="9">
        <v>0</v>
      </c>
      <c r="E7787" s="8">
        <v>149</v>
      </c>
    </row>
    <row r="7788" s="3" customFormat="1" ht="18.75" spans="1:5">
      <c r="A7788" s="8" t="str">
        <f t="shared" si="135"/>
        <v>250033</v>
      </c>
      <c r="B7788" s="8" t="str">
        <f>"2561408013508"</f>
        <v>2561408013508</v>
      </c>
      <c r="C7788" s="8" t="s">
        <v>14</v>
      </c>
      <c r="D7788" s="9">
        <v>0</v>
      </c>
      <c r="E7788" s="8">
        <v>149</v>
      </c>
    </row>
    <row r="7789" s="3" customFormat="1" ht="18.75" spans="1:5">
      <c r="A7789" s="8" t="str">
        <f t="shared" si="135"/>
        <v>250033</v>
      </c>
      <c r="B7789" s="8" t="str">
        <f>"2561408013509"</f>
        <v>2561408013509</v>
      </c>
      <c r="C7789" s="8" t="s">
        <v>14</v>
      </c>
      <c r="D7789" s="9">
        <v>0</v>
      </c>
      <c r="E7789" s="8">
        <v>149</v>
      </c>
    </row>
    <row r="7790" s="3" customFormat="1" ht="18.75" spans="1:5">
      <c r="A7790" s="8" t="str">
        <f t="shared" si="135"/>
        <v>250033</v>
      </c>
      <c r="B7790" s="8" t="str">
        <f>"2561408013510"</f>
        <v>2561408013510</v>
      </c>
      <c r="C7790" s="8" t="s">
        <v>14</v>
      </c>
      <c r="D7790" s="9">
        <v>0</v>
      </c>
      <c r="E7790" s="8">
        <v>149</v>
      </c>
    </row>
    <row r="7791" s="3" customFormat="1" ht="18.75" spans="1:5">
      <c r="A7791" s="8" t="str">
        <f t="shared" si="135"/>
        <v>250033</v>
      </c>
      <c r="B7791" s="8" t="str">
        <f>"2561408013512"</f>
        <v>2561408013512</v>
      </c>
      <c r="C7791" s="8" t="s">
        <v>14</v>
      </c>
      <c r="D7791" s="9">
        <v>0</v>
      </c>
      <c r="E7791" s="8">
        <v>149</v>
      </c>
    </row>
    <row r="7792" s="3" customFormat="1" ht="18.75" spans="1:5">
      <c r="A7792" s="8" t="str">
        <f t="shared" ref="A7792:A7837" si="136">"250033"</f>
        <v>250033</v>
      </c>
      <c r="B7792" s="8" t="str">
        <f>"2561408013515"</f>
        <v>2561408013515</v>
      </c>
      <c r="C7792" s="8" t="s">
        <v>14</v>
      </c>
      <c r="D7792" s="9">
        <v>0</v>
      </c>
      <c r="E7792" s="8">
        <v>149</v>
      </c>
    </row>
    <row r="7793" s="3" customFormat="1" ht="18.75" spans="1:5">
      <c r="A7793" s="8" t="str">
        <f t="shared" si="136"/>
        <v>250033</v>
      </c>
      <c r="B7793" s="8" t="str">
        <f>"2561408013518"</f>
        <v>2561408013518</v>
      </c>
      <c r="C7793" s="8" t="s">
        <v>14</v>
      </c>
      <c r="D7793" s="9">
        <v>0</v>
      </c>
      <c r="E7793" s="8">
        <v>149</v>
      </c>
    </row>
    <row r="7794" s="3" customFormat="1" ht="18.75" spans="1:5">
      <c r="A7794" s="8" t="str">
        <f t="shared" si="136"/>
        <v>250033</v>
      </c>
      <c r="B7794" s="8" t="str">
        <f>"2561408013519"</f>
        <v>2561408013519</v>
      </c>
      <c r="C7794" s="8" t="s">
        <v>14</v>
      </c>
      <c r="D7794" s="9">
        <v>0</v>
      </c>
      <c r="E7794" s="8">
        <v>149</v>
      </c>
    </row>
    <row r="7795" s="3" customFormat="1" ht="18.75" spans="1:5">
      <c r="A7795" s="8" t="str">
        <f t="shared" si="136"/>
        <v>250033</v>
      </c>
      <c r="B7795" s="8" t="str">
        <f>"2561408013521"</f>
        <v>2561408013521</v>
      </c>
      <c r="C7795" s="8" t="s">
        <v>14</v>
      </c>
      <c r="D7795" s="9">
        <v>0</v>
      </c>
      <c r="E7795" s="8">
        <v>149</v>
      </c>
    </row>
    <row r="7796" s="3" customFormat="1" ht="18.75" spans="1:5">
      <c r="A7796" s="8" t="str">
        <f t="shared" si="136"/>
        <v>250033</v>
      </c>
      <c r="B7796" s="8" t="str">
        <f>"2561408013523"</f>
        <v>2561408013523</v>
      </c>
      <c r="C7796" s="8" t="s">
        <v>14</v>
      </c>
      <c r="D7796" s="9">
        <v>0</v>
      </c>
      <c r="E7796" s="8">
        <v>149</v>
      </c>
    </row>
    <row r="7797" s="3" customFormat="1" ht="18.75" spans="1:5">
      <c r="A7797" s="8" t="str">
        <f t="shared" si="136"/>
        <v>250033</v>
      </c>
      <c r="B7797" s="8" t="str">
        <f>"2561408013524"</f>
        <v>2561408013524</v>
      </c>
      <c r="C7797" s="8" t="s">
        <v>14</v>
      </c>
      <c r="D7797" s="9">
        <v>0</v>
      </c>
      <c r="E7797" s="8">
        <v>149</v>
      </c>
    </row>
    <row r="7798" s="3" customFormat="1" ht="18.75" spans="1:5">
      <c r="A7798" s="8" t="str">
        <f t="shared" si="136"/>
        <v>250033</v>
      </c>
      <c r="B7798" s="8" t="str">
        <f>"2561408013604"</f>
        <v>2561408013604</v>
      </c>
      <c r="C7798" s="8" t="s">
        <v>14</v>
      </c>
      <c r="D7798" s="9">
        <v>0</v>
      </c>
      <c r="E7798" s="8">
        <v>149</v>
      </c>
    </row>
    <row r="7799" s="3" customFormat="1" ht="18.75" spans="1:5">
      <c r="A7799" s="8" t="str">
        <f t="shared" si="136"/>
        <v>250033</v>
      </c>
      <c r="B7799" s="8" t="str">
        <f>"2561408013605"</f>
        <v>2561408013605</v>
      </c>
      <c r="C7799" s="8" t="s">
        <v>14</v>
      </c>
      <c r="D7799" s="9">
        <v>0</v>
      </c>
      <c r="E7799" s="8">
        <v>149</v>
      </c>
    </row>
    <row r="7800" s="3" customFormat="1" ht="18.75" spans="1:5">
      <c r="A7800" s="8" t="str">
        <f t="shared" si="136"/>
        <v>250033</v>
      </c>
      <c r="B7800" s="8" t="str">
        <f>"2561408013606"</f>
        <v>2561408013606</v>
      </c>
      <c r="C7800" s="8" t="s">
        <v>14</v>
      </c>
      <c r="D7800" s="9">
        <v>0</v>
      </c>
      <c r="E7800" s="8">
        <v>149</v>
      </c>
    </row>
    <row r="7801" s="3" customFormat="1" ht="18.75" spans="1:5">
      <c r="A7801" s="8" t="str">
        <f t="shared" si="136"/>
        <v>250033</v>
      </c>
      <c r="B7801" s="8" t="str">
        <f>"2561408013610"</f>
        <v>2561408013610</v>
      </c>
      <c r="C7801" s="8" t="s">
        <v>14</v>
      </c>
      <c r="D7801" s="9">
        <v>0</v>
      </c>
      <c r="E7801" s="8">
        <v>149</v>
      </c>
    </row>
    <row r="7802" s="3" customFormat="1" ht="18.75" spans="1:5">
      <c r="A7802" s="8" t="str">
        <f t="shared" si="136"/>
        <v>250033</v>
      </c>
      <c r="B7802" s="8" t="str">
        <f>"2561408013611"</f>
        <v>2561408013611</v>
      </c>
      <c r="C7802" s="8" t="s">
        <v>14</v>
      </c>
      <c r="D7802" s="9">
        <v>0</v>
      </c>
      <c r="E7802" s="8">
        <v>149</v>
      </c>
    </row>
    <row r="7803" s="3" customFormat="1" ht="18.75" spans="1:5">
      <c r="A7803" s="8" t="str">
        <f t="shared" si="136"/>
        <v>250033</v>
      </c>
      <c r="B7803" s="8" t="str">
        <f>"2561408013612"</f>
        <v>2561408013612</v>
      </c>
      <c r="C7803" s="8" t="s">
        <v>14</v>
      </c>
      <c r="D7803" s="9">
        <v>0</v>
      </c>
      <c r="E7803" s="8">
        <v>149</v>
      </c>
    </row>
    <row r="7804" s="3" customFormat="1" ht="18.75" spans="1:5">
      <c r="A7804" s="8" t="str">
        <f t="shared" si="136"/>
        <v>250033</v>
      </c>
      <c r="B7804" s="8" t="str">
        <f>"2561408013613"</f>
        <v>2561408013613</v>
      </c>
      <c r="C7804" s="8" t="s">
        <v>14</v>
      </c>
      <c r="D7804" s="9">
        <v>0</v>
      </c>
      <c r="E7804" s="8">
        <v>149</v>
      </c>
    </row>
    <row r="7805" s="3" customFormat="1" ht="18.75" spans="1:5">
      <c r="A7805" s="8" t="str">
        <f t="shared" si="136"/>
        <v>250033</v>
      </c>
      <c r="B7805" s="8" t="str">
        <f>"2561408013615"</f>
        <v>2561408013615</v>
      </c>
      <c r="C7805" s="8" t="s">
        <v>14</v>
      </c>
      <c r="D7805" s="9">
        <v>0</v>
      </c>
      <c r="E7805" s="8">
        <v>149</v>
      </c>
    </row>
    <row r="7806" s="3" customFormat="1" ht="18.75" spans="1:5">
      <c r="A7806" s="8" t="str">
        <f t="shared" si="136"/>
        <v>250033</v>
      </c>
      <c r="B7806" s="8" t="str">
        <f>"2561408013616"</f>
        <v>2561408013616</v>
      </c>
      <c r="C7806" s="8" t="s">
        <v>14</v>
      </c>
      <c r="D7806" s="9">
        <v>0</v>
      </c>
      <c r="E7806" s="8">
        <v>149</v>
      </c>
    </row>
    <row r="7807" s="3" customFormat="1" ht="18.75" spans="1:5">
      <c r="A7807" s="8" t="str">
        <f t="shared" si="136"/>
        <v>250033</v>
      </c>
      <c r="B7807" s="8" t="str">
        <f>"2561408013618"</f>
        <v>2561408013618</v>
      </c>
      <c r="C7807" s="8" t="s">
        <v>14</v>
      </c>
      <c r="D7807" s="9">
        <v>0</v>
      </c>
      <c r="E7807" s="8">
        <v>149</v>
      </c>
    </row>
    <row r="7808" s="3" customFormat="1" ht="18.75" spans="1:5">
      <c r="A7808" s="8" t="str">
        <f t="shared" si="136"/>
        <v>250033</v>
      </c>
      <c r="B7808" s="8" t="str">
        <f>"2561408013619"</f>
        <v>2561408013619</v>
      </c>
      <c r="C7808" s="8" t="s">
        <v>14</v>
      </c>
      <c r="D7808" s="9">
        <v>0</v>
      </c>
      <c r="E7808" s="8">
        <v>149</v>
      </c>
    </row>
    <row r="7809" s="3" customFormat="1" ht="18.75" spans="1:5">
      <c r="A7809" s="8" t="str">
        <f t="shared" si="136"/>
        <v>250033</v>
      </c>
      <c r="B7809" s="8" t="str">
        <f>"2561408013625"</f>
        <v>2561408013625</v>
      </c>
      <c r="C7809" s="8" t="s">
        <v>14</v>
      </c>
      <c r="D7809" s="9">
        <v>0</v>
      </c>
      <c r="E7809" s="8">
        <v>149</v>
      </c>
    </row>
    <row r="7810" s="3" customFormat="1" ht="18.75" spans="1:5">
      <c r="A7810" s="8" t="str">
        <f t="shared" si="136"/>
        <v>250033</v>
      </c>
      <c r="B7810" s="8" t="str">
        <f>"2561408013630"</f>
        <v>2561408013630</v>
      </c>
      <c r="C7810" s="8" t="s">
        <v>14</v>
      </c>
      <c r="D7810" s="9">
        <v>0</v>
      </c>
      <c r="E7810" s="8">
        <v>149</v>
      </c>
    </row>
    <row r="7811" s="3" customFormat="1" ht="18.75" spans="1:5">
      <c r="A7811" s="8" t="str">
        <f t="shared" si="136"/>
        <v>250033</v>
      </c>
      <c r="B7811" s="8" t="str">
        <f>"2561408013704"</f>
        <v>2561408013704</v>
      </c>
      <c r="C7811" s="8" t="s">
        <v>14</v>
      </c>
      <c r="D7811" s="9">
        <v>0</v>
      </c>
      <c r="E7811" s="8">
        <v>149</v>
      </c>
    </row>
    <row r="7812" s="3" customFormat="1" ht="18.75" spans="1:5">
      <c r="A7812" s="8" t="str">
        <f t="shared" si="136"/>
        <v>250033</v>
      </c>
      <c r="B7812" s="8" t="str">
        <f>"2561408013705"</f>
        <v>2561408013705</v>
      </c>
      <c r="C7812" s="8" t="s">
        <v>14</v>
      </c>
      <c r="D7812" s="9">
        <v>0</v>
      </c>
      <c r="E7812" s="8">
        <v>149</v>
      </c>
    </row>
    <row r="7813" s="3" customFormat="1" ht="18.75" spans="1:5">
      <c r="A7813" s="8" t="str">
        <f t="shared" si="136"/>
        <v>250033</v>
      </c>
      <c r="B7813" s="8" t="str">
        <f>"2561408013706"</f>
        <v>2561408013706</v>
      </c>
      <c r="C7813" s="8" t="s">
        <v>14</v>
      </c>
      <c r="D7813" s="9">
        <v>0</v>
      </c>
      <c r="E7813" s="8">
        <v>149</v>
      </c>
    </row>
    <row r="7814" s="3" customFormat="1" ht="18.75" spans="1:5">
      <c r="A7814" s="8" t="str">
        <f t="shared" si="136"/>
        <v>250033</v>
      </c>
      <c r="B7814" s="8" t="str">
        <f>"2561408013707"</f>
        <v>2561408013707</v>
      </c>
      <c r="C7814" s="8" t="s">
        <v>14</v>
      </c>
      <c r="D7814" s="9">
        <v>0</v>
      </c>
      <c r="E7814" s="8">
        <v>149</v>
      </c>
    </row>
    <row r="7815" s="3" customFormat="1" ht="18.75" spans="1:5">
      <c r="A7815" s="8" t="str">
        <f t="shared" si="136"/>
        <v>250033</v>
      </c>
      <c r="B7815" s="8" t="str">
        <f>"2561408013708"</f>
        <v>2561408013708</v>
      </c>
      <c r="C7815" s="8" t="s">
        <v>14</v>
      </c>
      <c r="D7815" s="9">
        <v>0</v>
      </c>
      <c r="E7815" s="8">
        <v>149</v>
      </c>
    </row>
    <row r="7816" s="3" customFormat="1" ht="18.75" spans="1:5">
      <c r="A7816" s="8" t="str">
        <f t="shared" si="136"/>
        <v>250033</v>
      </c>
      <c r="B7816" s="8" t="str">
        <f>"2561408013712"</f>
        <v>2561408013712</v>
      </c>
      <c r="C7816" s="8" t="s">
        <v>14</v>
      </c>
      <c r="D7816" s="9">
        <v>0</v>
      </c>
      <c r="E7816" s="8">
        <v>149</v>
      </c>
    </row>
    <row r="7817" s="3" customFormat="1" ht="18.75" spans="1:5">
      <c r="A7817" s="8" t="str">
        <f t="shared" si="136"/>
        <v>250033</v>
      </c>
      <c r="B7817" s="8" t="str">
        <f>"2561408013713"</f>
        <v>2561408013713</v>
      </c>
      <c r="C7817" s="8" t="s">
        <v>14</v>
      </c>
      <c r="D7817" s="9">
        <v>0</v>
      </c>
      <c r="E7817" s="8">
        <v>149</v>
      </c>
    </row>
    <row r="7818" s="3" customFormat="1" ht="18.75" spans="1:5">
      <c r="A7818" s="8" t="str">
        <f t="shared" si="136"/>
        <v>250033</v>
      </c>
      <c r="B7818" s="8" t="str">
        <f>"2561408013716"</f>
        <v>2561408013716</v>
      </c>
      <c r="C7818" s="8" t="s">
        <v>14</v>
      </c>
      <c r="D7818" s="9">
        <v>0</v>
      </c>
      <c r="E7818" s="8">
        <v>149</v>
      </c>
    </row>
    <row r="7819" s="3" customFormat="1" ht="18.75" spans="1:5">
      <c r="A7819" s="8" t="str">
        <f t="shared" si="136"/>
        <v>250033</v>
      </c>
      <c r="B7819" s="8" t="str">
        <f>"2561408013718"</f>
        <v>2561408013718</v>
      </c>
      <c r="C7819" s="8" t="s">
        <v>14</v>
      </c>
      <c r="D7819" s="9">
        <v>0</v>
      </c>
      <c r="E7819" s="8">
        <v>149</v>
      </c>
    </row>
    <row r="7820" s="3" customFormat="1" ht="18.75" spans="1:5">
      <c r="A7820" s="8" t="str">
        <f t="shared" si="136"/>
        <v>250033</v>
      </c>
      <c r="B7820" s="8" t="str">
        <f>"2561408013719"</f>
        <v>2561408013719</v>
      </c>
      <c r="C7820" s="8" t="s">
        <v>14</v>
      </c>
      <c r="D7820" s="9">
        <v>0</v>
      </c>
      <c r="E7820" s="8">
        <v>149</v>
      </c>
    </row>
    <row r="7821" s="3" customFormat="1" ht="18.75" spans="1:5">
      <c r="A7821" s="8" t="str">
        <f t="shared" si="136"/>
        <v>250033</v>
      </c>
      <c r="B7821" s="8" t="str">
        <f>"2561408013721"</f>
        <v>2561408013721</v>
      </c>
      <c r="C7821" s="8" t="s">
        <v>14</v>
      </c>
      <c r="D7821" s="9">
        <v>0</v>
      </c>
      <c r="E7821" s="8">
        <v>149</v>
      </c>
    </row>
    <row r="7822" s="3" customFormat="1" ht="18.75" spans="1:5">
      <c r="A7822" s="8" t="str">
        <f t="shared" si="136"/>
        <v>250033</v>
      </c>
      <c r="B7822" s="8" t="str">
        <f>"2561408013723"</f>
        <v>2561408013723</v>
      </c>
      <c r="C7822" s="8" t="s">
        <v>14</v>
      </c>
      <c r="D7822" s="9">
        <v>0</v>
      </c>
      <c r="E7822" s="8">
        <v>149</v>
      </c>
    </row>
    <row r="7823" s="3" customFormat="1" ht="18.75" spans="1:5">
      <c r="A7823" s="8" t="str">
        <f t="shared" si="136"/>
        <v>250033</v>
      </c>
      <c r="B7823" s="8" t="str">
        <f>"2561408013726"</f>
        <v>2561408013726</v>
      </c>
      <c r="C7823" s="8" t="s">
        <v>14</v>
      </c>
      <c r="D7823" s="9">
        <v>0</v>
      </c>
      <c r="E7823" s="8">
        <v>149</v>
      </c>
    </row>
    <row r="7824" s="3" customFormat="1" ht="18.75" spans="1:5">
      <c r="A7824" s="8" t="str">
        <f t="shared" si="136"/>
        <v>250033</v>
      </c>
      <c r="B7824" s="8" t="str">
        <f>"2561408013728"</f>
        <v>2561408013728</v>
      </c>
      <c r="C7824" s="8" t="s">
        <v>14</v>
      </c>
      <c r="D7824" s="9">
        <v>0</v>
      </c>
      <c r="E7824" s="8">
        <v>149</v>
      </c>
    </row>
    <row r="7825" s="3" customFormat="1" ht="18.75" spans="1:5">
      <c r="A7825" s="8" t="str">
        <f t="shared" si="136"/>
        <v>250033</v>
      </c>
      <c r="B7825" s="8" t="str">
        <f>"2561408013730"</f>
        <v>2561408013730</v>
      </c>
      <c r="C7825" s="8" t="s">
        <v>14</v>
      </c>
      <c r="D7825" s="9">
        <v>0</v>
      </c>
      <c r="E7825" s="8">
        <v>149</v>
      </c>
    </row>
    <row r="7826" s="3" customFormat="1" ht="18.75" spans="1:5">
      <c r="A7826" s="8" t="str">
        <f t="shared" si="136"/>
        <v>250033</v>
      </c>
      <c r="B7826" s="8" t="str">
        <f>"2561408013801"</f>
        <v>2561408013801</v>
      </c>
      <c r="C7826" s="8" t="s">
        <v>14</v>
      </c>
      <c r="D7826" s="9">
        <v>0</v>
      </c>
      <c r="E7826" s="8">
        <v>149</v>
      </c>
    </row>
    <row r="7827" s="3" customFormat="1" ht="18.75" spans="1:5">
      <c r="A7827" s="8" t="str">
        <f t="shared" si="136"/>
        <v>250033</v>
      </c>
      <c r="B7827" s="8" t="str">
        <f>"2561408013806"</f>
        <v>2561408013806</v>
      </c>
      <c r="C7827" s="8" t="s">
        <v>14</v>
      </c>
      <c r="D7827" s="9">
        <v>0</v>
      </c>
      <c r="E7827" s="8">
        <v>149</v>
      </c>
    </row>
    <row r="7828" s="3" customFormat="1" ht="18.75" spans="1:5">
      <c r="A7828" s="8" t="str">
        <f t="shared" si="136"/>
        <v>250033</v>
      </c>
      <c r="B7828" s="8" t="str">
        <f>"2561408013807"</f>
        <v>2561408013807</v>
      </c>
      <c r="C7828" s="8" t="s">
        <v>14</v>
      </c>
      <c r="D7828" s="9">
        <v>0</v>
      </c>
      <c r="E7828" s="8">
        <v>149</v>
      </c>
    </row>
    <row r="7829" s="3" customFormat="1" ht="18.75" spans="1:5">
      <c r="A7829" s="8" t="str">
        <f t="shared" si="136"/>
        <v>250033</v>
      </c>
      <c r="B7829" s="8" t="str">
        <f>"2561408013809"</f>
        <v>2561408013809</v>
      </c>
      <c r="C7829" s="8" t="s">
        <v>14</v>
      </c>
      <c r="D7829" s="9">
        <v>0</v>
      </c>
      <c r="E7829" s="8">
        <v>149</v>
      </c>
    </row>
    <row r="7830" s="3" customFormat="1" ht="18.75" spans="1:5">
      <c r="A7830" s="8" t="str">
        <f t="shared" si="136"/>
        <v>250033</v>
      </c>
      <c r="B7830" s="8" t="str">
        <f>"2561408013812"</f>
        <v>2561408013812</v>
      </c>
      <c r="C7830" s="8" t="s">
        <v>14</v>
      </c>
      <c r="D7830" s="9">
        <v>0</v>
      </c>
      <c r="E7830" s="8">
        <v>149</v>
      </c>
    </row>
    <row r="7831" s="3" customFormat="1" ht="18.75" spans="1:5">
      <c r="A7831" s="8" t="str">
        <f t="shared" si="136"/>
        <v>250033</v>
      </c>
      <c r="B7831" s="8" t="str">
        <f>"2561408013813"</f>
        <v>2561408013813</v>
      </c>
      <c r="C7831" s="8" t="s">
        <v>14</v>
      </c>
      <c r="D7831" s="9">
        <v>0</v>
      </c>
      <c r="E7831" s="8">
        <v>149</v>
      </c>
    </row>
    <row r="7832" s="3" customFormat="1" ht="18.75" spans="1:5">
      <c r="A7832" s="8" t="str">
        <f t="shared" si="136"/>
        <v>250033</v>
      </c>
      <c r="B7832" s="8" t="str">
        <f>"2561408013817"</f>
        <v>2561408013817</v>
      </c>
      <c r="C7832" s="8" t="s">
        <v>14</v>
      </c>
      <c r="D7832" s="9">
        <v>0</v>
      </c>
      <c r="E7832" s="8">
        <v>149</v>
      </c>
    </row>
    <row r="7833" s="3" customFormat="1" ht="18.75" spans="1:5">
      <c r="A7833" s="8" t="str">
        <f t="shared" si="136"/>
        <v>250033</v>
      </c>
      <c r="B7833" s="8" t="str">
        <f>"2561408013819"</f>
        <v>2561408013819</v>
      </c>
      <c r="C7833" s="8" t="s">
        <v>14</v>
      </c>
      <c r="D7833" s="9">
        <v>0</v>
      </c>
      <c r="E7833" s="8">
        <v>149</v>
      </c>
    </row>
    <row r="7834" s="3" customFormat="1" ht="18.75" spans="1:5">
      <c r="A7834" s="8" t="str">
        <f t="shared" si="136"/>
        <v>250033</v>
      </c>
      <c r="B7834" s="8" t="str">
        <f>"2561408013825"</f>
        <v>2561408013825</v>
      </c>
      <c r="C7834" s="8" t="s">
        <v>14</v>
      </c>
      <c r="D7834" s="9">
        <v>0</v>
      </c>
      <c r="E7834" s="8">
        <v>149</v>
      </c>
    </row>
    <row r="7835" s="3" customFormat="1" ht="18.75" spans="1:5">
      <c r="A7835" s="8" t="str">
        <f t="shared" si="136"/>
        <v>250033</v>
      </c>
      <c r="B7835" s="8" t="str">
        <f>"2561408013829"</f>
        <v>2561408013829</v>
      </c>
      <c r="C7835" s="8" t="s">
        <v>14</v>
      </c>
      <c r="D7835" s="9">
        <v>0</v>
      </c>
      <c r="E7835" s="8">
        <v>149</v>
      </c>
    </row>
    <row r="7836" s="3" customFormat="1" ht="18.75" spans="1:5">
      <c r="A7836" s="8" t="str">
        <f t="shared" si="136"/>
        <v>250033</v>
      </c>
      <c r="B7836" s="8" t="str">
        <f>"2561408013901"</f>
        <v>2561408013901</v>
      </c>
      <c r="C7836" s="8" t="s">
        <v>14</v>
      </c>
      <c r="D7836" s="9">
        <v>0</v>
      </c>
      <c r="E7836" s="8">
        <v>149</v>
      </c>
    </row>
    <row r="7837" s="3" customFormat="1" ht="18.75" spans="1:5">
      <c r="A7837" s="8" t="str">
        <f t="shared" si="136"/>
        <v>250033</v>
      </c>
      <c r="B7837" s="8" t="str">
        <f>"2561408013906"</f>
        <v>2561408013906</v>
      </c>
      <c r="C7837" s="8" t="s">
        <v>14</v>
      </c>
      <c r="D7837" s="9">
        <v>0</v>
      </c>
      <c r="E7837" s="8">
        <v>149</v>
      </c>
    </row>
    <row r="7838" s="3" customFormat="1" ht="18.75" spans="1:5">
      <c r="A7838" s="8" t="str">
        <f t="shared" ref="A7838:A7901" si="137">"250034"</f>
        <v>250034</v>
      </c>
      <c r="B7838" s="8" t="str">
        <f>"2561408014412"</f>
        <v>2561408014412</v>
      </c>
      <c r="C7838" s="8" t="s">
        <v>14</v>
      </c>
      <c r="D7838" s="9">
        <v>68.29</v>
      </c>
      <c r="E7838" s="8">
        <v>1</v>
      </c>
    </row>
    <row r="7839" s="3" customFormat="1" ht="18.75" spans="1:5">
      <c r="A7839" s="8" t="str">
        <f t="shared" si="137"/>
        <v>250034</v>
      </c>
      <c r="B7839" s="8" t="str">
        <f>"2561408014924"</f>
        <v>2561408014924</v>
      </c>
      <c r="C7839" s="8" t="s">
        <v>14</v>
      </c>
      <c r="D7839" s="9">
        <v>67.36</v>
      </c>
      <c r="E7839" s="8">
        <v>2</v>
      </c>
    </row>
    <row r="7840" s="3" customFormat="1" ht="18.75" spans="1:5">
      <c r="A7840" s="8" t="str">
        <f t="shared" si="137"/>
        <v>250034</v>
      </c>
      <c r="B7840" s="8" t="str">
        <f>"2561408014204"</f>
        <v>2561408014204</v>
      </c>
      <c r="C7840" s="8" t="s">
        <v>14</v>
      </c>
      <c r="D7840" s="9">
        <v>67.16</v>
      </c>
      <c r="E7840" s="8">
        <v>3</v>
      </c>
    </row>
    <row r="7841" s="3" customFormat="1" ht="18.75" spans="1:5">
      <c r="A7841" s="8" t="str">
        <f t="shared" si="137"/>
        <v>250034</v>
      </c>
      <c r="B7841" s="8" t="str">
        <f>"2561408014811"</f>
        <v>2561408014811</v>
      </c>
      <c r="C7841" s="8" t="s">
        <v>14</v>
      </c>
      <c r="D7841" s="9">
        <v>67.14</v>
      </c>
      <c r="E7841" s="8">
        <v>4</v>
      </c>
    </row>
    <row r="7842" s="3" customFormat="1" ht="18.75" spans="1:5">
      <c r="A7842" s="8" t="str">
        <f t="shared" si="137"/>
        <v>250034</v>
      </c>
      <c r="B7842" s="8" t="str">
        <f>"2561408014104"</f>
        <v>2561408014104</v>
      </c>
      <c r="C7842" s="8" t="s">
        <v>14</v>
      </c>
      <c r="D7842" s="9">
        <v>66.43</v>
      </c>
      <c r="E7842" s="8">
        <v>5</v>
      </c>
    </row>
    <row r="7843" s="3" customFormat="1" ht="18.75" spans="1:5">
      <c r="A7843" s="8" t="str">
        <f t="shared" si="137"/>
        <v>250034</v>
      </c>
      <c r="B7843" s="8" t="str">
        <f>"2561408014009"</f>
        <v>2561408014009</v>
      </c>
      <c r="C7843" s="8" t="s">
        <v>14</v>
      </c>
      <c r="D7843" s="9">
        <v>65.87</v>
      </c>
      <c r="E7843" s="8">
        <v>6</v>
      </c>
    </row>
    <row r="7844" s="3" customFormat="1" ht="18.75" spans="1:5">
      <c r="A7844" s="8" t="str">
        <f t="shared" si="137"/>
        <v>250034</v>
      </c>
      <c r="B7844" s="8" t="str">
        <f>"2561408014930"</f>
        <v>2561408014930</v>
      </c>
      <c r="C7844" s="8" t="s">
        <v>14</v>
      </c>
      <c r="D7844" s="9">
        <v>65.46</v>
      </c>
      <c r="E7844" s="8">
        <v>7</v>
      </c>
    </row>
    <row r="7845" s="3" customFormat="1" ht="18.75" spans="1:5">
      <c r="A7845" s="8" t="str">
        <f t="shared" si="137"/>
        <v>250034</v>
      </c>
      <c r="B7845" s="8" t="str">
        <f>"2561408015020"</f>
        <v>2561408015020</v>
      </c>
      <c r="C7845" s="8" t="s">
        <v>14</v>
      </c>
      <c r="D7845" s="9">
        <v>65.35</v>
      </c>
      <c r="E7845" s="8">
        <v>8</v>
      </c>
    </row>
    <row r="7846" s="3" customFormat="1" ht="18.75" spans="1:5">
      <c r="A7846" s="8" t="str">
        <f t="shared" si="137"/>
        <v>250034</v>
      </c>
      <c r="B7846" s="8" t="str">
        <f>"2561408014313"</f>
        <v>2561408014313</v>
      </c>
      <c r="C7846" s="8" t="s">
        <v>14</v>
      </c>
      <c r="D7846" s="9">
        <v>65.26</v>
      </c>
      <c r="E7846" s="8">
        <v>9</v>
      </c>
    </row>
    <row r="7847" s="3" customFormat="1" ht="18.75" spans="1:5">
      <c r="A7847" s="8" t="str">
        <f t="shared" si="137"/>
        <v>250034</v>
      </c>
      <c r="B7847" s="8" t="str">
        <f>"2561408014727"</f>
        <v>2561408014727</v>
      </c>
      <c r="C7847" s="8" t="s">
        <v>14</v>
      </c>
      <c r="D7847" s="9">
        <v>65.22</v>
      </c>
      <c r="E7847" s="8">
        <v>10</v>
      </c>
    </row>
    <row r="7848" s="3" customFormat="1" ht="18.75" spans="1:5">
      <c r="A7848" s="8" t="str">
        <f t="shared" si="137"/>
        <v>250034</v>
      </c>
      <c r="B7848" s="8" t="str">
        <f>"2561408015011"</f>
        <v>2561408015011</v>
      </c>
      <c r="C7848" s="8" t="s">
        <v>14</v>
      </c>
      <c r="D7848" s="9">
        <v>64.23</v>
      </c>
      <c r="E7848" s="8">
        <v>11</v>
      </c>
    </row>
    <row r="7849" s="3" customFormat="1" ht="18.75" spans="1:5">
      <c r="A7849" s="8" t="str">
        <f t="shared" si="137"/>
        <v>250034</v>
      </c>
      <c r="B7849" s="8" t="str">
        <f>"2561408014227"</f>
        <v>2561408014227</v>
      </c>
      <c r="C7849" s="8" t="s">
        <v>14</v>
      </c>
      <c r="D7849" s="9">
        <v>64.13</v>
      </c>
      <c r="E7849" s="8">
        <v>12</v>
      </c>
    </row>
    <row r="7850" s="3" customFormat="1" ht="18.75" spans="1:5">
      <c r="A7850" s="8" t="str">
        <f t="shared" si="137"/>
        <v>250034</v>
      </c>
      <c r="B7850" s="8" t="str">
        <f>"2561408014006"</f>
        <v>2561408014006</v>
      </c>
      <c r="C7850" s="8" t="s">
        <v>14</v>
      </c>
      <c r="D7850" s="9">
        <v>64.11</v>
      </c>
      <c r="E7850" s="8">
        <v>13</v>
      </c>
    </row>
    <row r="7851" s="3" customFormat="1" ht="18.75" spans="1:5">
      <c r="A7851" s="8" t="str">
        <f t="shared" si="137"/>
        <v>250034</v>
      </c>
      <c r="B7851" s="8" t="str">
        <f>"2561408014526"</f>
        <v>2561408014526</v>
      </c>
      <c r="C7851" s="8" t="s">
        <v>14</v>
      </c>
      <c r="D7851" s="9">
        <v>63.81</v>
      </c>
      <c r="E7851" s="8">
        <v>14</v>
      </c>
    </row>
    <row r="7852" s="3" customFormat="1" ht="18.75" spans="1:5">
      <c r="A7852" s="8" t="str">
        <f t="shared" si="137"/>
        <v>250034</v>
      </c>
      <c r="B7852" s="8" t="str">
        <f>"2561408014509"</f>
        <v>2561408014509</v>
      </c>
      <c r="C7852" s="8" t="s">
        <v>14</v>
      </c>
      <c r="D7852" s="9">
        <v>63.77</v>
      </c>
      <c r="E7852" s="8">
        <v>15</v>
      </c>
    </row>
    <row r="7853" s="3" customFormat="1" ht="18.75" spans="1:5">
      <c r="A7853" s="8" t="str">
        <f t="shared" si="137"/>
        <v>250034</v>
      </c>
      <c r="B7853" s="8" t="str">
        <f>"2561408014018"</f>
        <v>2561408014018</v>
      </c>
      <c r="C7853" s="8" t="s">
        <v>14</v>
      </c>
      <c r="D7853" s="9">
        <v>63.74</v>
      </c>
      <c r="E7853" s="8">
        <v>16</v>
      </c>
    </row>
    <row r="7854" s="3" customFormat="1" ht="18.75" spans="1:5">
      <c r="A7854" s="8" t="str">
        <f t="shared" si="137"/>
        <v>250034</v>
      </c>
      <c r="B7854" s="8" t="str">
        <f>"2561408014213"</f>
        <v>2561408014213</v>
      </c>
      <c r="C7854" s="8" t="s">
        <v>14</v>
      </c>
      <c r="D7854" s="9">
        <v>63.7</v>
      </c>
      <c r="E7854" s="8">
        <v>17</v>
      </c>
    </row>
    <row r="7855" s="3" customFormat="1" ht="18.75" spans="1:5">
      <c r="A7855" s="8" t="str">
        <f t="shared" si="137"/>
        <v>250034</v>
      </c>
      <c r="B7855" s="8" t="str">
        <f>"2561408014302"</f>
        <v>2561408014302</v>
      </c>
      <c r="C7855" s="8" t="s">
        <v>14</v>
      </c>
      <c r="D7855" s="9">
        <v>63.61</v>
      </c>
      <c r="E7855" s="8">
        <v>18</v>
      </c>
    </row>
    <row r="7856" s="3" customFormat="1" ht="18.75" spans="1:5">
      <c r="A7856" s="8" t="str">
        <f t="shared" si="137"/>
        <v>250034</v>
      </c>
      <c r="B7856" s="8" t="str">
        <f>"2561408014129"</f>
        <v>2561408014129</v>
      </c>
      <c r="C7856" s="8" t="s">
        <v>14</v>
      </c>
      <c r="D7856" s="9">
        <v>63.58</v>
      </c>
      <c r="E7856" s="8">
        <v>19</v>
      </c>
    </row>
    <row r="7857" s="3" customFormat="1" ht="18.75" spans="1:5">
      <c r="A7857" s="8" t="str">
        <f t="shared" si="137"/>
        <v>250034</v>
      </c>
      <c r="B7857" s="8" t="str">
        <f>"2561408015114"</f>
        <v>2561408015114</v>
      </c>
      <c r="C7857" s="8" t="s">
        <v>14</v>
      </c>
      <c r="D7857" s="9">
        <v>63.54</v>
      </c>
      <c r="E7857" s="8">
        <v>20</v>
      </c>
    </row>
    <row r="7858" s="3" customFormat="1" ht="18.75" spans="1:5">
      <c r="A7858" s="8" t="str">
        <f t="shared" si="137"/>
        <v>250034</v>
      </c>
      <c r="B7858" s="8" t="str">
        <f>"2561408014821"</f>
        <v>2561408014821</v>
      </c>
      <c r="C7858" s="8" t="s">
        <v>14</v>
      </c>
      <c r="D7858" s="9">
        <v>63.52</v>
      </c>
      <c r="E7858" s="8">
        <v>21</v>
      </c>
    </row>
    <row r="7859" s="3" customFormat="1" ht="18.75" spans="1:5">
      <c r="A7859" s="8" t="str">
        <f t="shared" si="137"/>
        <v>250034</v>
      </c>
      <c r="B7859" s="8" t="str">
        <f>"2561408014614"</f>
        <v>2561408014614</v>
      </c>
      <c r="C7859" s="8" t="s">
        <v>14</v>
      </c>
      <c r="D7859" s="9">
        <v>63.51</v>
      </c>
      <c r="E7859" s="8">
        <v>22</v>
      </c>
    </row>
    <row r="7860" s="3" customFormat="1" ht="18.75" spans="1:5">
      <c r="A7860" s="8" t="str">
        <f t="shared" si="137"/>
        <v>250034</v>
      </c>
      <c r="B7860" s="8" t="str">
        <f>"2561408014630"</f>
        <v>2561408014630</v>
      </c>
      <c r="C7860" s="8" t="s">
        <v>14</v>
      </c>
      <c r="D7860" s="9">
        <v>63.32</v>
      </c>
      <c r="E7860" s="8">
        <v>23</v>
      </c>
    </row>
    <row r="7861" s="3" customFormat="1" ht="18.75" spans="1:5">
      <c r="A7861" s="8" t="str">
        <f t="shared" si="137"/>
        <v>250034</v>
      </c>
      <c r="B7861" s="8" t="str">
        <f>"2561408013922"</f>
        <v>2561408013922</v>
      </c>
      <c r="C7861" s="8" t="s">
        <v>14</v>
      </c>
      <c r="D7861" s="9">
        <v>63.22</v>
      </c>
      <c r="E7861" s="8">
        <v>24</v>
      </c>
    </row>
    <row r="7862" s="3" customFormat="1" ht="18.75" spans="1:5">
      <c r="A7862" s="8" t="str">
        <f t="shared" si="137"/>
        <v>250034</v>
      </c>
      <c r="B7862" s="8" t="str">
        <f>"2561408014830"</f>
        <v>2561408014830</v>
      </c>
      <c r="C7862" s="8" t="s">
        <v>14</v>
      </c>
      <c r="D7862" s="9">
        <v>62.98</v>
      </c>
      <c r="E7862" s="8">
        <v>25</v>
      </c>
    </row>
    <row r="7863" s="3" customFormat="1" ht="18.75" spans="1:5">
      <c r="A7863" s="8" t="str">
        <f t="shared" si="137"/>
        <v>250034</v>
      </c>
      <c r="B7863" s="8" t="str">
        <f>"2561408014702"</f>
        <v>2561408014702</v>
      </c>
      <c r="C7863" s="8" t="s">
        <v>14</v>
      </c>
      <c r="D7863" s="9">
        <v>62.94</v>
      </c>
      <c r="E7863" s="8">
        <v>26</v>
      </c>
    </row>
    <row r="7864" s="3" customFormat="1" ht="18.75" spans="1:5">
      <c r="A7864" s="8" t="str">
        <f t="shared" si="137"/>
        <v>250034</v>
      </c>
      <c r="B7864" s="8" t="str">
        <f>"2561408014707"</f>
        <v>2561408014707</v>
      </c>
      <c r="C7864" s="8" t="s">
        <v>14</v>
      </c>
      <c r="D7864" s="9">
        <v>62.94</v>
      </c>
      <c r="E7864" s="8">
        <v>26</v>
      </c>
    </row>
    <row r="7865" s="3" customFormat="1" ht="18.75" spans="1:5">
      <c r="A7865" s="8" t="str">
        <f t="shared" si="137"/>
        <v>250034</v>
      </c>
      <c r="B7865" s="8" t="str">
        <f>"2561408015104"</f>
        <v>2561408015104</v>
      </c>
      <c r="C7865" s="8" t="s">
        <v>14</v>
      </c>
      <c r="D7865" s="9">
        <v>62.85</v>
      </c>
      <c r="E7865" s="8">
        <v>28</v>
      </c>
    </row>
    <row r="7866" s="3" customFormat="1" ht="18.75" spans="1:5">
      <c r="A7866" s="8" t="str">
        <f t="shared" si="137"/>
        <v>250034</v>
      </c>
      <c r="B7866" s="8" t="str">
        <f>"2561408014701"</f>
        <v>2561408014701</v>
      </c>
      <c r="C7866" s="8" t="s">
        <v>14</v>
      </c>
      <c r="D7866" s="9">
        <v>62.62</v>
      </c>
      <c r="E7866" s="8">
        <v>29</v>
      </c>
    </row>
    <row r="7867" s="3" customFormat="1" ht="18.75" spans="1:5">
      <c r="A7867" s="8" t="str">
        <f t="shared" si="137"/>
        <v>250034</v>
      </c>
      <c r="B7867" s="8" t="str">
        <f>"2561408015210"</f>
        <v>2561408015210</v>
      </c>
      <c r="C7867" s="8" t="s">
        <v>14</v>
      </c>
      <c r="D7867" s="9">
        <v>62.54</v>
      </c>
      <c r="E7867" s="8">
        <v>30</v>
      </c>
    </row>
    <row r="7868" s="3" customFormat="1" ht="18.75" spans="1:5">
      <c r="A7868" s="8" t="str">
        <f t="shared" si="137"/>
        <v>250034</v>
      </c>
      <c r="B7868" s="8" t="str">
        <f>"2561408015021"</f>
        <v>2561408015021</v>
      </c>
      <c r="C7868" s="8" t="s">
        <v>14</v>
      </c>
      <c r="D7868" s="9">
        <v>62.29</v>
      </c>
      <c r="E7868" s="8">
        <v>31</v>
      </c>
    </row>
    <row r="7869" s="3" customFormat="1" ht="18.75" spans="1:5">
      <c r="A7869" s="8" t="str">
        <f t="shared" si="137"/>
        <v>250034</v>
      </c>
      <c r="B7869" s="8" t="str">
        <f>"2561408015015"</f>
        <v>2561408015015</v>
      </c>
      <c r="C7869" s="8" t="s">
        <v>14</v>
      </c>
      <c r="D7869" s="9">
        <v>62.24</v>
      </c>
      <c r="E7869" s="8">
        <v>32</v>
      </c>
    </row>
    <row r="7870" s="3" customFormat="1" ht="18.75" spans="1:5">
      <c r="A7870" s="8" t="str">
        <f t="shared" si="137"/>
        <v>250034</v>
      </c>
      <c r="B7870" s="8" t="str">
        <f>"2561408015007"</f>
        <v>2561408015007</v>
      </c>
      <c r="C7870" s="8" t="s">
        <v>14</v>
      </c>
      <c r="D7870" s="9">
        <v>62.19</v>
      </c>
      <c r="E7870" s="8">
        <v>33</v>
      </c>
    </row>
    <row r="7871" s="3" customFormat="1" ht="18.75" spans="1:5">
      <c r="A7871" s="8" t="str">
        <f t="shared" si="137"/>
        <v>250034</v>
      </c>
      <c r="B7871" s="8" t="str">
        <f>"2561408014917"</f>
        <v>2561408014917</v>
      </c>
      <c r="C7871" s="8" t="s">
        <v>14</v>
      </c>
      <c r="D7871" s="9">
        <v>62.09</v>
      </c>
      <c r="E7871" s="8">
        <v>34</v>
      </c>
    </row>
    <row r="7872" s="3" customFormat="1" ht="18.75" spans="1:5">
      <c r="A7872" s="8" t="str">
        <f t="shared" si="137"/>
        <v>250034</v>
      </c>
      <c r="B7872" s="8" t="str">
        <f>"2561408014329"</f>
        <v>2561408014329</v>
      </c>
      <c r="C7872" s="8" t="s">
        <v>14</v>
      </c>
      <c r="D7872" s="9">
        <v>61.84</v>
      </c>
      <c r="E7872" s="8">
        <v>35</v>
      </c>
    </row>
    <row r="7873" s="3" customFormat="1" ht="18.75" spans="1:5">
      <c r="A7873" s="8" t="str">
        <f t="shared" si="137"/>
        <v>250034</v>
      </c>
      <c r="B7873" s="8" t="str">
        <f>"2561408014816"</f>
        <v>2561408014816</v>
      </c>
      <c r="C7873" s="8" t="s">
        <v>14</v>
      </c>
      <c r="D7873" s="9">
        <v>61.67</v>
      </c>
      <c r="E7873" s="8">
        <v>36</v>
      </c>
    </row>
    <row r="7874" s="3" customFormat="1" ht="18.75" spans="1:5">
      <c r="A7874" s="8" t="str">
        <f t="shared" si="137"/>
        <v>250034</v>
      </c>
      <c r="B7874" s="8" t="str">
        <f>"2561408014710"</f>
        <v>2561408014710</v>
      </c>
      <c r="C7874" s="8" t="s">
        <v>14</v>
      </c>
      <c r="D7874" s="9">
        <v>61.53</v>
      </c>
      <c r="E7874" s="8">
        <v>37</v>
      </c>
    </row>
    <row r="7875" s="3" customFormat="1" ht="18.75" spans="1:5">
      <c r="A7875" s="8" t="str">
        <f t="shared" si="137"/>
        <v>250034</v>
      </c>
      <c r="B7875" s="8" t="str">
        <f>"2561408015118"</f>
        <v>2561408015118</v>
      </c>
      <c r="C7875" s="8" t="s">
        <v>14</v>
      </c>
      <c r="D7875" s="9">
        <v>61.31</v>
      </c>
      <c r="E7875" s="8">
        <v>38</v>
      </c>
    </row>
    <row r="7876" s="3" customFormat="1" ht="18.75" spans="1:5">
      <c r="A7876" s="8" t="str">
        <f t="shared" si="137"/>
        <v>250034</v>
      </c>
      <c r="B7876" s="8" t="str">
        <f>"2561408014323"</f>
        <v>2561408014323</v>
      </c>
      <c r="C7876" s="8" t="s">
        <v>14</v>
      </c>
      <c r="D7876" s="9">
        <v>61.21</v>
      </c>
      <c r="E7876" s="8">
        <v>39</v>
      </c>
    </row>
    <row r="7877" s="3" customFormat="1" ht="18.75" spans="1:5">
      <c r="A7877" s="8" t="str">
        <f t="shared" si="137"/>
        <v>250034</v>
      </c>
      <c r="B7877" s="8" t="str">
        <f>"2561408014210"</f>
        <v>2561408014210</v>
      </c>
      <c r="C7877" s="8" t="s">
        <v>14</v>
      </c>
      <c r="D7877" s="9">
        <v>60.71</v>
      </c>
      <c r="E7877" s="8">
        <v>40</v>
      </c>
    </row>
    <row r="7878" s="3" customFormat="1" ht="18.75" spans="1:5">
      <c r="A7878" s="8" t="str">
        <f t="shared" si="137"/>
        <v>250034</v>
      </c>
      <c r="B7878" s="8" t="str">
        <f>"2561408014428"</f>
        <v>2561408014428</v>
      </c>
      <c r="C7878" s="8" t="s">
        <v>14</v>
      </c>
      <c r="D7878" s="9">
        <v>60.62</v>
      </c>
      <c r="E7878" s="8">
        <v>41</v>
      </c>
    </row>
    <row r="7879" s="3" customFormat="1" ht="18.75" spans="1:5">
      <c r="A7879" s="8" t="str">
        <f t="shared" si="137"/>
        <v>250034</v>
      </c>
      <c r="B7879" s="8" t="str">
        <f>"2561408014606"</f>
        <v>2561408014606</v>
      </c>
      <c r="C7879" s="8" t="s">
        <v>14</v>
      </c>
      <c r="D7879" s="9">
        <v>60.37</v>
      </c>
      <c r="E7879" s="8">
        <v>42</v>
      </c>
    </row>
    <row r="7880" s="3" customFormat="1" ht="18.75" spans="1:5">
      <c r="A7880" s="8" t="str">
        <f t="shared" si="137"/>
        <v>250034</v>
      </c>
      <c r="B7880" s="8" t="str">
        <f>"2561408015018"</f>
        <v>2561408015018</v>
      </c>
      <c r="C7880" s="8" t="s">
        <v>14</v>
      </c>
      <c r="D7880" s="9">
        <v>60.37</v>
      </c>
      <c r="E7880" s="8">
        <v>42</v>
      </c>
    </row>
    <row r="7881" s="3" customFormat="1" ht="18.75" spans="1:5">
      <c r="A7881" s="8" t="str">
        <f t="shared" si="137"/>
        <v>250034</v>
      </c>
      <c r="B7881" s="8" t="str">
        <f>"2561408015119"</f>
        <v>2561408015119</v>
      </c>
      <c r="C7881" s="8" t="s">
        <v>14</v>
      </c>
      <c r="D7881" s="9">
        <v>60.33</v>
      </c>
      <c r="E7881" s="8">
        <v>44</v>
      </c>
    </row>
    <row r="7882" s="3" customFormat="1" ht="18.75" spans="1:5">
      <c r="A7882" s="8" t="str">
        <f t="shared" si="137"/>
        <v>250034</v>
      </c>
      <c r="B7882" s="8" t="str">
        <f>"2561408014610"</f>
        <v>2561408014610</v>
      </c>
      <c r="C7882" s="8" t="s">
        <v>14</v>
      </c>
      <c r="D7882" s="9">
        <v>60.32</v>
      </c>
      <c r="E7882" s="8">
        <v>45</v>
      </c>
    </row>
    <row r="7883" s="3" customFormat="1" ht="18.75" spans="1:5">
      <c r="A7883" s="8" t="str">
        <f t="shared" si="137"/>
        <v>250034</v>
      </c>
      <c r="B7883" s="8" t="str">
        <f>"2561408014628"</f>
        <v>2561408014628</v>
      </c>
      <c r="C7883" s="8" t="s">
        <v>14</v>
      </c>
      <c r="D7883" s="9">
        <v>60.32</v>
      </c>
      <c r="E7883" s="8">
        <v>45</v>
      </c>
    </row>
    <row r="7884" s="3" customFormat="1" ht="18.75" spans="1:5">
      <c r="A7884" s="8" t="str">
        <f t="shared" si="137"/>
        <v>250034</v>
      </c>
      <c r="B7884" s="8" t="str">
        <f>"2561408015206"</f>
        <v>2561408015206</v>
      </c>
      <c r="C7884" s="8" t="s">
        <v>14</v>
      </c>
      <c r="D7884" s="9">
        <v>60.31</v>
      </c>
      <c r="E7884" s="8">
        <v>47</v>
      </c>
    </row>
    <row r="7885" s="3" customFormat="1" ht="18.75" spans="1:5">
      <c r="A7885" s="8" t="str">
        <f t="shared" si="137"/>
        <v>250034</v>
      </c>
      <c r="B7885" s="8" t="str">
        <f>"2561408014608"</f>
        <v>2561408014608</v>
      </c>
      <c r="C7885" s="8" t="s">
        <v>14</v>
      </c>
      <c r="D7885" s="9">
        <v>60.2</v>
      </c>
      <c r="E7885" s="8">
        <v>48</v>
      </c>
    </row>
    <row r="7886" s="3" customFormat="1" ht="18.75" spans="1:5">
      <c r="A7886" s="8" t="str">
        <f t="shared" si="137"/>
        <v>250034</v>
      </c>
      <c r="B7886" s="8" t="str">
        <f>"2561408014624"</f>
        <v>2561408014624</v>
      </c>
      <c r="C7886" s="8" t="s">
        <v>14</v>
      </c>
      <c r="D7886" s="9">
        <v>60.1</v>
      </c>
      <c r="E7886" s="8">
        <v>49</v>
      </c>
    </row>
    <row r="7887" s="3" customFormat="1" ht="18.75" spans="1:5">
      <c r="A7887" s="8" t="str">
        <f t="shared" si="137"/>
        <v>250034</v>
      </c>
      <c r="B7887" s="8" t="str">
        <f>"2561408014128"</f>
        <v>2561408014128</v>
      </c>
      <c r="C7887" s="8" t="s">
        <v>14</v>
      </c>
      <c r="D7887" s="9">
        <v>60.01</v>
      </c>
      <c r="E7887" s="8">
        <v>50</v>
      </c>
    </row>
    <row r="7888" s="3" customFormat="1" ht="18.75" spans="1:5">
      <c r="A7888" s="8" t="str">
        <f t="shared" si="137"/>
        <v>250034</v>
      </c>
      <c r="B7888" s="8" t="str">
        <f>"2561408013910"</f>
        <v>2561408013910</v>
      </c>
      <c r="C7888" s="8" t="s">
        <v>14</v>
      </c>
      <c r="D7888" s="9">
        <v>59.79</v>
      </c>
      <c r="E7888" s="8">
        <v>51</v>
      </c>
    </row>
    <row r="7889" s="3" customFormat="1" ht="18.75" spans="1:5">
      <c r="A7889" s="8" t="str">
        <f t="shared" si="137"/>
        <v>250034</v>
      </c>
      <c r="B7889" s="8" t="str">
        <f>"2561408014902"</f>
        <v>2561408014902</v>
      </c>
      <c r="C7889" s="8" t="s">
        <v>14</v>
      </c>
      <c r="D7889" s="9">
        <v>59.75</v>
      </c>
      <c r="E7889" s="8">
        <v>52</v>
      </c>
    </row>
    <row r="7890" s="3" customFormat="1" ht="18.75" spans="1:5">
      <c r="A7890" s="8" t="str">
        <f t="shared" si="137"/>
        <v>250034</v>
      </c>
      <c r="B7890" s="8" t="str">
        <f>"2561408014219"</f>
        <v>2561408014219</v>
      </c>
      <c r="C7890" s="8" t="s">
        <v>14</v>
      </c>
      <c r="D7890" s="9">
        <v>59.72</v>
      </c>
      <c r="E7890" s="8">
        <v>53</v>
      </c>
    </row>
    <row r="7891" s="3" customFormat="1" ht="18.75" spans="1:5">
      <c r="A7891" s="8" t="str">
        <f t="shared" si="137"/>
        <v>250034</v>
      </c>
      <c r="B7891" s="8" t="str">
        <f>"2561408014806"</f>
        <v>2561408014806</v>
      </c>
      <c r="C7891" s="8" t="s">
        <v>14</v>
      </c>
      <c r="D7891" s="9">
        <v>59.6</v>
      </c>
      <c r="E7891" s="8">
        <v>54</v>
      </c>
    </row>
    <row r="7892" s="3" customFormat="1" ht="18.75" spans="1:5">
      <c r="A7892" s="8" t="str">
        <f t="shared" si="137"/>
        <v>250034</v>
      </c>
      <c r="B7892" s="8" t="str">
        <f>"2561408014901"</f>
        <v>2561408014901</v>
      </c>
      <c r="C7892" s="8" t="s">
        <v>14</v>
      </c>
      <c r="D7892" s="9">
        <v>59.48</v>
      </c>
      <c r="E7892" s="8">
        <v>55</v>
      </c>
    </row>
    <row r="7893" s="3" customFormat="1" ht="18.75" spans="1:5">
      <c r="A7893" s="8" t="str">
        <f t="shared" si="137"/>
        <v>250034</v>
      </c>
      <c r="B7893" s="8" t="str">
        <f>"2561408014212"</f>
        <v>2561408014212</v>
      </c>
      <c r="C7893" s="8" t="s">
        <v>14</v>
      </c>
      <c r="D7893" s="9">
        <v>59.34</v>
      </c>
      <c r="E7893" s="8">
        <v>56</v>
      </c>
    </row>
    <row r="7894" s="3" customFormat="1" ht="18.75" spans="1:5">
      <c r="A7894" s="8" t="str">
        <f t="shared" si="137"/>
        <v>250034</v>
      </c>
      <c r="B7894" s="8" t="str">
        <f>"2561408015201"</f>
        <v>2561408015201</v>
      </c>
      <c r="C7894" s="8" t="s">
        <v>14</v>
      </c>
      <c r="D7894" s="9">
        <v>59.25</v>
      </c>
      <c r="E7894" s="8">
        <v>57</v>
      </c>
    </row>
    <row r="7895" s="3" customFormat="1" ht="18.75" spans="1:5">
      <c r="A7895" s="8" t="str">
        <f t="shared" si="137"/>
        <v>250034</v>
      </c>
      <c r="B7895" s="8" t="str">
        <f>"2561408015120"</f>
        <v>2561408015120</v>
      </c>
      <c r="C7895" s="8" t="s">
        <v>14</v>
      </c>
      <c r="D7895" s="9">
        <v>59.2</v>
      </c>
      <c r="E7895" s="8">
        <v>58</v>
      </c>
    </row>
    <row r="7896" s="3" customFormat="1" ht="18.75" spans="1:5">
      <c r="A7896" s="8" t="str">
        <f t="shared" si="137"/>
        <v>250034</v>
      </c>
      <c r="B7896" s="8" t="str">
        <f>"2561408014003"</f>
        <v>2561408014003</v>
      </c>
      <c r="C7896" s="8" t="s">
        <v>14</v>
      </c>
      <c r="D7896" s="9">
        <v>59.19</v>
      </c>
      <c r="E7896" s="8">
        <v>59</v>
      </c>
    </row>
    <row r="7897" s="3" customFormat="1" ht="18.75" spans="1:5">
      <c r="A7897" s="8" t="str">
        <f t="shared" si="137"/>
        <v>250034</v>
      </c>
      <c r="B7897" s="8" t="str">
        <f>"2561408014627"</f>
        <v>2561408014627</v>
      </c>
      <c r="C7897" s="8" t="s">
        <v>14</v>
      </c>
      <c r="D7897" s="9">
        <v>59.01</v>
      </c>
      <c r="E7897" s="8">
        <v>60</v>
      </c>
    </row>
    <row r="7898" s="3" customFormat="1" ht="18.75" spans="1:5">
      <c r="A7898" s="8" t="str">
        <f t="shared" si="137"/>
        <v>250034</v>
      </c>
      <c r="B7898" s="8" t="str">
        <f>"2561408014529"</f>
        <v>2561408014529</v>
      </c>
      <c r="C7898" s="8" t="s">
        <v>14</v>
      </c>
      <c r="D7898" s="9">
        <v>58.95</v>
      </c>
      <c r="E7898" s="8">
        <v>61</v>
      </c>
    </row>
    <row r="7899" s="3" customFormat="1" ht="18.75" spans="1:5">
      <c r="A7899" s="8" t="str">
        <f t="shared" si="137"/>
        <v>250034</v>
      </c>
      <c r="B7899" s="8" t="str">
        <f>"2561408014005"</f>
        <v>2561408014005</v>
      </c>
      <c r="C7899" s="8" t="s">
        <v>14</v>
      </c>
      <c r="D7899" s="9">
        <v>58.79</v>
      </c>
      <c r="E7899" s="8">
        <v>62</v>
      </c>
    </row>
    <row r="7900" s="3" customFormat="1" ht="18.75" spans="1:5">
      <c r="A7900" s="8" t="str">
        <f t="shared" si="137"/>
        <v>250034</v>
      </c>
      <c r="B7900" s="8" t="str">
        <f>"2561408014403"</f>
        <v>2561408014403</v>
      </c>
      <c r="C7900" s="8" t="s">
        <v>14</v>
      </c>
      <c r="D7900" s="9">
        <v>58.76</v>
      </c>
      <c r="E7900" s="8">
        <v>63</v>
      </c>
    </row>
    <row r="7901" s="3" customFormat="1" ht="18.75" spans="1:5">
      <c r="A7901" s="8" t="str">
        <f t="shared" si="137"/>
        <v>250034</v>
      </c>
      <c r="B7901" s="8" t="str">
        <f>"2561408014709"</f>
        <v>2561408014709</v>
      </c>
      <c r="C7901" s="8" t="s">
        <v>14</v>
      </c>
      <c r="D7901" s="9">
        <v>58.61</v>
      </c>
      <c r="E7901" s="8">
        <v>64</v>
      </c>
    </row>
    <row r="7902" s="3" customFormat="1" ht="18.75" spans="1:5">
      <c r="A7902" s="8" t="str">
        <f t="shared" ref="A7902:A7965" si="138">"250034"</f>
        <v>250034</v>
      </c>
      <c r="B7902" s="8" t="str">
        <f>"2561408014719"</f>
        <v>2561408014719</v>
      </c>
      <c r="C7902" s="8" t="s">
        <v>14</v>
      </c>
      <c r="D7902" s="9">
        <v>58.6</v>
      </c>
      <c r="E7902" s="8">
        <v>65</v>
      </c>
    </row>
    <row r="7903" s="3" customFormat="1" ht="18.75" spans="1:5">
      <c r="A7903" s="8" t="str">
        <f t="shared" si="138"/>
        <v>250034</v>
      </c>
      <c r="B7903" s="8" t="str">
        <f>"2561408014823"</f>
        <v>2561408014823</v>
      </c>
      <c r="C7903" s="8" t="s">
        <v>14</v>
      </c>
      <c r="D7903" s="9">
        <v>58.6</v>
      </c>
      <c r="E7903" s="8">
        <v>65</v>
      </c>
    </row>
    <row r="7904" s="3" customFormat="1" ht="18.75" spans="1:5">
      <c r="A7904" s="8" t="str">
        <f t="shared" si="138"/>
        <v>250034</v>
      </c>
      <c r="B7904" s="8" t="str">
        <f>"2561408014303"</f>
        <v>2561408014303</v>
      </c>
      <c r="C7904" s="8" t="s">
        <v>14</v>
      </c>
      <c r="D7904" s="9">
        <v>58.48</v>
      </c>
      <c r="E7904" s="8">
        <v>67</v>
      </c>
    </row>
    <row r="7905" s="3" customFormat="1" ht="18.75" spans="1:5">
      <c r="A7905" s="8" t="str">
        <f t="shared" si="138"/>
        <v>250034</v>
      </c>
      <c r="B7905" s="8" t="str">
        <f>"2561408014411"</f>
        <v>2561408014411</v>
      </c>
      <c r="C7905" s="8" t="s">
        <v>14</v>
      </c>
      <c r="D7905" s="9">
        <v>58.37</v>
      </c>
      <c r="E7905" s="8">
        <v>68</v>
      </c>
    </row>
    <row r="7906" s="3" customFormat="1" ht="18.75" spans="1:5">
      <c r="A7906" s="8" t="str">
        <f t="shared" si="138"/>
        <v>250034</v>
      </c>
      <c r="B7906" s="8" t="str">
        <f>"2561408014920"</f>
        <v>2561408014920</v>
      </c>
      <c r="C7906" s="8" t="s">
        <v>14</v>
      </c>
      <c r="D7906" s="9">
        <v>58.33</v>
      </c>
      <c r="E7906" s="8">
        <v>69</v>
      </c>
    </row>
    <row r="7907" s="3" customFormat="1" ht="18.75" spans="1:5">
      <c r="A7907" s="8" t="str">
        <f t="shared" si="138"/>
        <v>250034</v>
      </c>
      <c r="B7907" s="8" t="str">
        <f>"2561408014419"</f>
        <v>2561408014419</v>
      </c>
      <c r="C7907" s="8" t="s">
        <v>14</v>
      </c>
      <c r="D7907" s="9">
        <v>58.21</v>
      </c>
      <c r="E7907" s="8">
        <v>70</v>
      </c>
    </row>
    <row r="7908" s="3" customFormat="1" ht="18.75" spans="1:5">
      <c r="A7908" s="8" t="str">
        <f t="shared" si="138"/>
        <v>250034</v>
      </c>
      <c r="B7908" s="8" t="str">
        <f>"2561408014512"</f>
        <v>2561408014512</v>
      </c>
      <c r="C7908" s="8" t="s">
        <v>14</v>
      </c>
      <c r="D7908" s="9">
        <v>58.17</v>
      </c>
      <c r="E7908" s="8">
        <v>71</v>
      </c>
    </row>
    <row r="7909" s="3" customFormat="1" ht="18.75" spans="1:5">
      <c r="A7909" s="8" t="str">
        <f t="shared" si="138"/>
        <v>250034</v>
      </c>
      <c r="B7909" s="8" t="str">
        <f>"2561408015030"</f>
        <v>2561408015030</v>
      </c>
      <c r="C7909" s="8" t="s">
        <v>14</v>
      </c>
      <c r="D7909" s="9">
        <v>58.15</v>
      </c>
      <c r="E7909" s="8">
        <v>72</v>
      </c>
    </row>
    <row r="7910" s="3" customFormat="1" ht="18.75" spans="1:5">
      <c r="A7910" s="8" t="str">
        <f t="shared" si="138"/>
        <v>250034</v>
      </c>
      <c r="B7910" s="8" t="str">
        <f>"2561408015204"</f>
        <v>2561408015204</v>
      </c>
      <c r="C7910" s="8" t="s">
        <v>14</v>
      </c>
      <c r="D7910" s="9">
        <v>58.05</v>
      </c>
      <c r="E7910" s="8">
        <v>73</v>
      </c>
    </row>
    <row r="7911" s="3" customFormat="1" ht="18.75" spans="1:5">
      <c r="A7911" s="8" t="str">
        <f t="shared" si="138"/>
        <v>250034</v>
      </c>
      <c r="B7911" s="8" t="str">
        <f>"2561408014423"</f>
        <v>2561408014423</v>
      </c>
      <c r="C7911" s="8" t="s">
        <v>14</v>
      </c>
      <c r="D7911" s="9">
        <v>58</v>
      </c>
      <c r="E7911" s="8">
        <v>74</v>
      </c>
    </row>
    <row r="7912" s="3" customFormat="1" ht="18.75" spans="1:5">
      <c r="A7912" s="8" t="str">
        <f t="shared" si="138"/>
        <v>250034</v>
      </c>
      <c r="B7912" s="8" t="str">
        <f>"2561408014802"</f>
        <v>2561408014802</v>
      </c>
      <c r="C7912" s="8" t="s">
        <v>14</v>
      </c>
      <c r="D7912" s="9">
        <v>57.98</v>
      </c>
      <c r="E7912" s="8">
        <v>75</v>
      </c>
    </row>
    <row r="7913" s="3" customFormat="1" ht="18.75" spans="1:5">
      <c r="A7913" s="8" t="str">
        <f t="shared" si="138"/>
        <v>250034</v>
      </c>
      <c r="B7913" s="8" t="str">
        <f>"2561408014020"</f>
        <v>2561408014020</v>
      </c>
      <c r="C7913" s="8" t="s">
        <v>14</v>
      </c>
      <c r="D7913" s="9">
        <v>57.92</v>
      </c>
      <c r="E7913" s="8">
        <v>76</v>
      </c>
    </row>
    <row r="7914" s="3" customFormat="1" ht="18.75" spans="1:5">
      <c r="A7914" s="8" t="str">
        <f t="shared" si="138"/>
        <v>250034</v>
      </c>
      <c r="B7914" s="8" t="str">
        <f>"2561408015016"</f>
        <v>2561408015016</v>
      </c>
      <c r="C7914" s="8" t="s">
        <v>14</v>
      </c>
      <c r="D7914" s="9">
        <v>57.82</v>
      </c>
      <c r="E7914" s="8">
        <v>77</v>
      </c>
    </row>
    <row r="7915" s="3" customFormat="1" ht="18.75" spans="1:5">
      <c r="A7915" s="8" t="str">
        <f t="shared" si="138"/>
        <v>250034</v>
      </c>
      <c r="B7915" s="8" t="str">
        <f>"2561408014611"</f>
        <v>2561408014611</v>
      </c>
      <c r="C7915" s="8" t="s">
        <v>14</v>
      </c>
      <c r="D7915" s="9">
        <v>57.79</v>
      </c>
      <c r="E7915" s="8">
        <v>78</v>
      </c>
    </row>
    <row r="7916" s="3" customFormat="1" ht="18.75" spans="1:5">
      <c r="A7916" s="8" t="str">
        <f t="shared" si="138"/>
        <v>250034</v>
      </c>
      <c r="B7916" s="8" t="str">
        <f>"2561408014527"</f>
        <v>2561408014527</v>
      </c>
      <c r="C7916" s="8" t="s">
        <v>14</v>
      </c>
      <c r="D7916" s="9">
        <v>57.65</v>
      </c>
      <c r="E7916" s="8">
        <v>79</v>
      </c>
    </row>
    <row r="7917" s="3" customFormat="1" ht="18.75" spans="1:5">
      <c r="A7917" s="8" t="str">
        <f t="shared" si="138"/>
        <v>250034</v>
      </c>
      <c r="B7917" s="8" t="str">
        <f>"2561408014714"</f>
        <v>2561408014714</v>
      </c>
      <c r="C7917" s="8" t="s">
        <v>14</v>
      </c>
      <c r="D7917" s="9">
        <v>57.61</v>
      </c>
      <c r="E7917" s="8">
        <v>80</v>
      </c>
    </row>
    <row r="7918" s="3" customFormat="1" ht="18.75" spans="1:5">
      <c r="A7918" s="8" t="str">
        <f t="shared" si="138"/>
        <v>250034</v>
      </c>
      <c r="B7918" s="8" t="str">
        <f>"2561408014501"</f>
        <v>2561408014501</v>
      </c>
      <c r="C7918" s="8" t="s">
        <v>14</v>
      </c>
      <c r="D7918" s="9">
        <v>57.6</v>
      </c>
      <c r="E7918" s="8">
        <v>81</v>
      </c>
    </row>
    <row r="7919" s="3" customFormat="1" ht="18.75" spans="1:5">
      <c r="A7919" s="8" t="str">
        <f t="shared" si="138"/>
        <v>250034</v>
      </c>
      <c r="B7919" s="8" t="str">
        <f>"2561408014001"</f>
        <v>2561408014001</v>
      </c>
      <c r="C7919" s="8" t="s">
        <v>14</v>
      </c>
      <c r="D7919" s="9">
        <v>57.52</v>
      </c>
      <c r="E7919" s="8">
        <v>82</v>
      </c>
    </row>
    <row r="7920" s="3" customFormat="1" ht="18.75" spans="1:5">
      <c r="A7920" s="8" t="str">
        <f t="shared" si="138"/>
        <v>250034</v>
      </c>
      <c r="B7920" s="8" t="str">
        <f>"2561408014016"</f>
        <v>2561408014016</v>
      </c>
      <c r="C7920" s="8" t="s">
        <v>14</v>
      </c>
      <c r="D7920" s="9">
        <v>57.49</v>
      </c>
      <c r="E7920" s="8">
        <v>83</v>
      </c>
    </row>
    <row r="7921" s="3" customFormat="1" ht="18.75" spans="1:5">
      <c r="A7921" s="8" t="str">
        <f t="shared" si="138"/>
        <v>250034</v>
      </c>
      <c r="B7921" s="8" t="str">
        <f>"2561408014229"</f>
        <v>2561408014229</v>
      </c>
      <c r="C7921" s="8" t="s">
        <v>14</v>
      </c>
      <c r="D7921" s="9">
        <v>57.41</v>
      </c>
      <c r="E7921" s="8">
        <v>84</v>
      </c>
    </row>
    <row r="7922" s="3" customFormat="1" ht="18.75" spans="1:5">
      <c r="A7922" s="8" t="str">
        <f t="shared" si="138"/>
        <v>250034</v>
      </c>
      <c r="B7922" s="8" t="str">
        <f>"2561408015125"</f>
        <v>2561408015125</v>
      </c>
      <c r="C7922" s="8" t="s">
        <v>14</v>
      </c>
      <c r="D7922" s="9">
        <v>57.32</v>
      </c>
      <c r="E7922" s="8">
        <v>85</v>
      </c>
    </row>
    <row r="7923" s="3" customFormat="1" ht="18.75" spans="1:5">
      <c r="A7923" s="8" t="str">
        <f t="shared" si="138"/>
        <v>250034</v>
      </c>
      <c r="B7923" s="8" t="str">
        <f>"2561408014421"</f>
        <v>2561408014421</v>
      </c>
      <c r="C7923" s="8" t="s">
        <v>14</v>
      </c>
      <c r="D7923" s="9">
        <v>57.29</v>
      </c>
      <c r="E7923" s="8">
        <v>86</v>
      </c>
    </row>
    <row r="7924" s="3" customFormat="1" ht="18.75" spans="1:5">
      <c r="A7924" s="8" t="str">
        <f t="shared" si="138"/>
        <v>250034</v>
      </c>
      <c r="B7924" s="8" t="str">
        <f>"2561408014126"</f>
        <v>2561408014126</v>
      </c>
      <c r="C7924" s="8" t="s">
        <v>14</v>
      </c>
      <c r="D7924" s="9">
        <v>57.26</v>
      </c>
      <c r="E7924" s="8">
        <v>87</v>
      </c>
    </row>
    <row r="7925" s="3" customFormat="1" ht="18.75" spans="1:5">
      <c r="A7925" s="8" t="str">
        <f t="shared" si="138"/>
        <v>250034</v>
      </c>
      <c r="B7925" s="8" t="str">
        <f>"2561408014415"</f>
        <v>2561408014415</v>
      </c>
      <c r="C7925" s="8" t="s">
        <v>14</v>
      </c>
      <c r="D7925" s="9">
        <v>57.11</v>
      </c>
      <c r="E7925" s="8">
        <v>88</v>
      </c>
    </row>
    <row r="7926" s="3" customFormat="1" ht="18.75" spans="1:5">
      <c r="A7926" s="8" t="str">
        <f t="shared" si="138"/>
        <v>250034</v>
      </c>
      <c r="B7926" s="8" t="str">
        <f>"2561408015208"</f>
        <v>2561408015208</v>
      </c>
      <c r="C7926" s="8" t="s">
        <v>14</v>
      </c>
      <c r="D7926" s="9">
        <v>57.04</v>
      </c>
      <c r="E7926" s="8">
        <v>89</v>
      </c>
    </row>
    <row r="7927" s="3" customFormat="1" ht="18.75" spans="1:5">
      <c r="A7927" s="8" t="str">
        <f t="shared" si="138"/>
        <v>250034</v>
      </c>
      <c r="B7927" s="8" t="str">
        <f>"2561408014107"</f>
        <v>2561408014107</v>
      </c>
      <c r="C7927" s="8" t="s">
        <v>14</v>
      </c>
      <c r="D7927" s="9">
        <v>56.94</v>
      </c>
      <c r="E7927" s="8">
        <v>90</v>
      </c>
    </row>
    <row r="7928" s="3" customFormat="1" ht="18.75" spans="1:5">
      <c r="A7928" s="8" t="str">
        <f t="shared" si="138"/>
        <v>250034</v>
      </c>
      <c r="B7928" s="8" t="str">
        <f>"2561408014409"</f>
        <v>2561408014409</v>
      </c>
      <c r="C7928" s="8" t="s">
        <v>14</v>
      </c>
      <c r="D7928" s="9">
        <v>56.85</v>
      </c>
      <c r="E7928" s="8">
        <v>91</v>
      </c>
    </row>
    <row r="7929" s="3" customFormat="1" ht="18.75" spans="1:5">
      <c r="A7929" s="8" t="str">
        <f t="shared" si="138"/>
        <v>250034</v>
      </c>
      <c r="B7929" s="8" t="str">
        <f>"2561408014826"</f>
        <v>2561408014826</v>
      </c>
      <c r="C7929" s="8" t="s">
        <v>14</v>
      </c>
      <c r="D7929" s="9">
        <v>56.77</v>
      </c>
      <c r="E7929" s="8">
        <v>92</v>
      </c>
    </row>
    <row r="7930" s="3" customFormat="1" ht="18.75" spans="1:5">
      <c r="A7930" s="8" t="str">
        <f t="shared" si="138"/>
        <v>250034</v>
      </c>
      <c r="B7930" s="8" t="str">
        <f>"2561408014122"</f>
        <v>2561408014122</v>
      </c>
      <c r="C7930" s="8" t="s">
        <v>14</v>
      </c>
      <c r="D7930" s="9">
        <v>56.71</v>
      </c>
      <c r="E7930" s="8">
        <v>93</v>
      </c>
    </row>
    <row r="7931" s="3" customFormat="1" ht="18.75" spans="1:5">
      <c r="A7931" s="8" t="str">
        <f t="shared" si="138"/>
        <v>250034</v>
      </c>
      <c r="B7931" s="8" t="str">
        <f>"2561408014416"</f>
        <v>2561408014416</v>
      </c>
      <c r="C7931" s="8" t="s">
        <v>14</v>
      </c>
      <c r="D7931" s="9">
        <v>56.69</v>
      </c>
      <c r="E7931" s="8">
        <v>94</v>
      </c>
    </row>
    <row r="7932" s="3" customFormat="1" ht="18.75" spans="1:5">
      <c r="A7932" s="8" t="str">
        <f t="shared" si="138"/>
        <v>250034</v>
      </c>
      <c r="B7932" s="8" t="str">
        <f>"2561408014907"</f>
        <v>2561408014907</v>
      </c>
      <c r="C7932" s="8" t="s">
        <v>14</v>
      </c>
      <c r="D7932" s="9">
        <v>56.63</v>
      </c>
      <c r="E7932" s="8">
        <v>95</v>
      </c>
    </row>
    <row r="7933" s="3" customFormat="1" ht="18.75" spans="1:5">
      <c r="A7933" s="8" t="str">
        <f t="shared" si="138"/>
        <v>250034</v>
      </c>
      <c r="B7933" s="8" t="str">
        <f>"2561408015028"</f>
        <v>2561408015028</v>
      </c>
      <c r="C7933" s="8" t="s">
        <v>14</v>
      </c>
      <c r="D7933" s="9">
        <v>56.63</v>
      </c>
      <c r="E7933" s="8">
        <v>95</v>
      </c>
    </row>
    <row r="7934" s="3" customFormat="1" ht="18.75" spans="1:5">
      <c r="A7934" s="8" t="str">
        <f t="shared" si="138"/>
        <v>250034</v>
      </c>
      <c r="B7934" s="8" t="str">
        <f>"2561408015108"</f>
        <v>2561408015108</v>
      </c>
      <c r="C7934" s="8" t="s">
        <v>14</v>
      </c>
      <c r="D7934" s="9">
        <v>56.54</v>
      </c>
      <c r="E7934" s="8">
        <v>97</v>
      </c>
    </row>
    <row r="7935" s="3" customFormat="1" ht="18.75" spans="1:5">
      <c r="A7935" s="8" t="str">
        <f t="shared" si="138"/>
        <v>250034</v>
      </c>
      <c r="B7935" s="8" t="str">
        <f>"2561408013914"</f>
        <v>2561408013914</v>
      </c>
      <c r="C7935" s="8" t="s">
        <v>14</v>
      </c>
      <c r="D7935" s="9">
        <v>56.51</v>
      </c>
      <c r="E7935" s="8">
        <v>98</v>
      </c>
    </row>
    <row r="7936" s="3" customFormat="1" ht="18.75" spans="1:5">
      <c r="A7936" s="8" t="str">
        <f t="shared" si="138"/>
        <v>250034</v>
      </c>
      <c r="B7936" s="8" t="str">
        <f>"2561408015207"</f>
        <v>2561408015207</v>
      </c>
      <c r="C7936" s="8" t="s">
        <v>14</v>
      </c>
      <c r="D7936" s="9">
        <v>56.5</v>
      </c>
      <c r="E7936" s="8">
        <v>99</v>
      </c>
    </row>
    <row r="7937" s="3" customFormat="1" ht="18.75" spans="1:5">
      <c r="A7937" s="8" t="str">
        <f t="shared" si="138"/>
        <v>250034</v>
      </c>
      <c r="B7937" s="8" t="str">
        <f>"2561408014010"</f>
        <v>2561408014010</v>
      </c>
      <c r="C7937" s="8" t="s">
        <v>14</v>
      </c>
      <c r="D7937" s="9">
        <v>56.39</v>
      </c>
      <c r="E7937" s="8">
        <v>100</v>
      </c>
    </row>
    <row r="7938" s="3" customFormat="1" ht="18.75" spans="1:5">
      <c r="A7938" s="8" t="str">
        <f t="shared" si="138"/>
        <v>250034</v>
      </c>
      <c r="B7938" s="8" t="str">
        <f>"2561408014720"</f>
        <v>2561408014720</v>
      </c>
      <c r="C7938" s="8" t="s">
        <v>14</v>
      </c>
      <c r="D7938" s="9">
        <v>56.34</v>
      </c>
      <c r="E7938" s="8">
        <v>101</v>
      </c>
    </row>
    <row r="7939" s="3" customFormat="1" ht="18.75" spans="1:5">
      <c r="A7939" s="8" t="str">
        <f t="shared" si="138"/>
        <v>250034</v>
      </c>
      <c r="B7939" s="8" t="str">
        <f>"2561408014622"</f>
        <v>2561408014622</v>
      </c>
      <c r="C7939" s="8" t="s">
        <v>14</v>
      </c>
      <c r="D7939" s="9">
        <v>56.21</v>
      </c>
      <c r="E7939" s="8">
        <v>102</v>
      </c>
    </row>
    <row r="7940" s="3" customFormat="1" ht="18.75" spans="1:5">
      <c r="A7940" s="8" t="str">
        <f t="shared" si="138"/>
        <v>250034</v>
      </c>
      <c r="B7940" s="8" t="str">
        <f>"2561408015009"</f>
        <v>2561408015009</v>
      </c>
      <c r="C7940" s="8" t="s">
        <v>14</v>
      </c>
      <c r="D7940" s="9">
        <v>56.16</v>
      </c>
      <c r="E7940" s="8">
        <v>103</v>
      </c>
    </row>
    <row r="7941" s="3" customFormat="1" ht="18.75" spans="1:5">
      <c r="A7941" s="8" t="str">
        <f t="shared" si="138"/>
        <v>250034</v>
      </c>
      <c r="B7941" s="8" t="str">
        <f>"2561408014320"</f>
        <v>2561408014320</v>
      </c>
      <c r="C7941" s="8" t="s">
        <v>14</v>
      </c>
      <c r="D7941" s="9">
        <v>56.14</v>
      </c>
      <c r="E7941" s="8">
        <v>104</v>
      </c>
    </row>
    <row r="7942" s="3" customFormat="1" ht="18.75" spans="1:5">
      <c r="A7942" s="8" t="str">
        <f t="shared" si="138"/>
        <v>250034</v>
      </c>
      <c r="B7942" s="8" t="str">
        <f>"2561408014504"</f>
        <v>2561408014504</v>
      </c>
      <c r="C7942" s="8" t="s">
        <v>14</v>
      </c>
      <c r="D7942" s="9">
        <v>55.96</v>
      </c>
      <c r="E7942" s="8">
        <v>105</v>
      </c>
    </row>
    <row r="7943" s="3" customFormat="1" ht="18.75" spans="1:5">
      <c r="A7943" s="8" t="str">
        <f t="shared" si="138"/>
        <v>250034</v>
      </c>
      <c r="B7943" s="8" t="str">
        <f>"2561408014028"</f>
        <v>2561408014028</v>
      </c>
      <c r="C7943" s="8" t="s">
        <v>14</v>
      </c>
      <c r="D7943" s="9">
        <v>55.94</v>
      </c>
      <c r="E7943" s="8">
        <v>106</v>
      </c>
    </row>
    <row r="7944" s="3" customFormat="1" ht="18.75" spans="1:5">
      <c r="A7944" s="8" t="str">
        <f t="shared" si="138"/>
        <v>250034</v>
      </c>
      <c r="B7944" s="8" t="str">
        <f>"2561408014206"</f>
        <v>2561408014206</v>
      </c>
      <c r="C7944" s="8" t="s">
        <v>14</v>
      </c>
      <c r="D7944" s="9">
        <v>55.8</v>
      </c>
      <c r="E7944" s="8">
        <v>107</v>
      </c>
    </row>
    <row r="7945" s="3" customFormat="1" ht="18.75" spans="1:5">
      <c r="A7945" s="8" t="str">
        <f t="shared" si="138"/>
        <v>250034</v>
      </c>
      <c r="B7945" s="8" t="str">
        <f>"2561408015129"</f>
        <v>2561408015129</v>
      </c>
      <c r="C7945" s="8" t="s">
        <v>14</v>
      </c>
      <c r="D7945" s="9">
        <v>55.69</v>
      </c>
      <c r="E7945" s="8">
        <v>108</v>
      </c>
    </row>
    <row r="7946" s="3" customFormat="1" ht="18.75" spans="1:5">
      <c r="A7946" s="8" t="str">
        <f t="shared" si="138"/>
        <v>250034</v>
      </c>
      <c r="B7946" s="8" t="str">
        <f>"2561408014620"</f>
        <v>2561408014620</v>
      </c>
      <c r="C7946" s="8" t="s">
        <v>14</v>
      </c>
      <c r="D7946" s="9">
        <v>55.65</v>
      </c>
      <c r="E7946" s="8">
        <v>109</v>
      </c>
    </row>
    <row r="7947" s="3" customFormat="1" ht="18.75" spans="1:5">
      <c r="A7947" s="8" t="str">
        <f t="shared" si="138"/>
        <v>250034</v>
      </c>
      <c r="B7947" s="8" t="str">
        <f>"2561408014205"</f>
        <v>2561408014205</v>
      </c>
      <c r="C7947" s="8" t="s">
        <v>14</v>
      </c>
      <c r="D7947" s="9">
        <v>55.47</v>
      </c>
      <c r="E7947" s="8">
        <v>110</v>
      </c>
    </row>
    <row r="7948" s="3" customFormat="1" ht="18.75" spans="1:5">
      <c r="A7948" s="8" t="str">
        <f t="shared" si="138"/>
        <v>250034</v>
      </c>
      <c r="B7948" s="8" t="str">
        <f>"2561408014903"</f>
        <v>2561408014903</v>
      </c>
      <c r="C7948" s="8" t="s">
        <v>14</v>
      </c>
      <c r="D7948" s="9">
        <v>55.43</v>
      </c>
      <c r="E7948" s="8">
        <v>111</v>
      </c>
    </row>
    <row r="7949" s="3" customFormat="1" ht="18.75" spans="1:5">
      <c r="A7949" s="8" t="str">
        <f t="shared" si="138"/>
        <v>250034</v>
      </c>
      <c r="B7949" s="8" t="str">
        <f>"2561408013918"</f>
        <v>2561408013918</v>
      </c>
      <c r="C7949" s="8" t="s">
        <v>14</v>
      </c>
      <c r="D7949" s="9">
        <v>55.33</v>
      </c>
      <c r="E7949" s="8">
        <v>112</v>
      </c>
    </row>
    <row r="7950" s="3" customFormat="1" ht="18.75" spans="1:5">
      <c r="A7950" s="8" t="str">
        <f t="shared" si="138"/>
        <v>250034</v>
      </c>
      <c r="B7950" s="8" t="str">
        <f>"2561408014521"</f>
        <v>2561408014521</v>
      </c>
      <c r="C7950" s="8" t="s">
        <v>14</v>
      </c>
      <c r="D7950" s="9">
        <v>55.23</v>
      </c>
      <c r="E7950" s="8">
        <v>113</v>
      </c>
    </row>
    <row r="7951" s="3" customFormat="1" ht="18.75" spans="1:5">
      <c r="A7951" s="8" t="str">
        <f t="shared" si="138"/>
        <v>250034</v>
      </c>
      <c r="B7951" s="8" t="str">
        <f>"2561408014011"</f>
        <v>2561408014011</v>
      </c>
      <c r="C7951" s="8" t="s">
        <v>14</v>
      </c>
      <c r="D7951" s="9">
        <v>55.21</v>
      </c>
      <c r="E7951" s="8">
        <v>114</v>
      </c>
    </row>
    <row r="7952" s="3" customFormat="1" ht="18.75" spans="1:5">
      <c r="A7952" s="8" t="str">
        <f t="shared" si="138"/>
        <v>250034</v>
      </c>
      <c r="B7952" s="8" t="str">
        <f>"2561408014119"</f>
        <v>2561408014119</v>
      </c>
      <c r="C7952" s="8" t="s">
        <v>14</v>
      </c>
      <c r="D7952" s="9">
        <v>55.21</v>
      </c>
      <c r="E7952" s="8">
        <v>114</v>
      </c>
    </row>
    <row r="7953" s="3" customFormat="1" ht="18.75" spans="1:5">
      <c r="A7953" s="8" t="str">
        <f t="shared" si="138"/>
        <v>250034</v>
      </c>
      <c r="B7953" s="8" t="str">
        <f>"2561408014116"</f>
        <v>2561408014116</v>
      </c>
      <c r="C7953" s="8" t="s">
        <v>14</v>
      </c>
      <c r="D7953" s="9">
        <v>55.2</v>
      </c>
      <c r="E7953" s="8">
        <v>116</v>
      </c>
    </row>
    <row r="7954" s="3" customFormat="1" ht="18.75" spans="1:5">
      <c r="A7954" s="8" t="str">
        <f t="shared" si="138"/>
        <v>250034</v>
      </c>
      <c r="B7954" s="8" t="str">
        <f>"2561408014726"</f>
        <v>2561408014726</v>
      </c>
      <c r="C7954" s="8" t="s">
        <v>14</v>
      </c>
      <c r="D7954" s="9">
        <v>55.2</v>
      </c>
      <c r="E7954" s="8">
        <v>116</v>
      </c>
    </row>
    <row r="7955" s="3" customFormat="1" ht="18.75" spans="1:5">
      <c r="A7955" s="8" t="str">
        <f t="shared" si="138"/>
        <v>250034</v>
      </c>
      <c r="B7955" s="8" t="str">
        <f>"2561408014911"</f>
        <v>2561408014911</v>
      </c>
      <c r="C7955" s="8" t="s">
        <v>14</v>
      </c>
      <c r="D7955" s="9">
        <v>55.14</v>
      </c>
      <c r="E7955" s="8">
        <v>118</v>
      </c>
    </row>
    <row r="7956" s="3" customFormat="1" ht="18.75" spans="1:5">
      <c r="A7956" s="8" t="str">
        <f t="shared" si="138"/>
        <v>250034</v>
      </c>
      <c r="B7956" s="8" t="str">
        <f>"2561408013920"</f>
        <v>2561408013920</v>
      </c>
      <c r="C7956" s="8" t="s">
        <v>14</v>
      </c>
      <c r="D7956" s="9">
        <v>55.02</v>
      </c>
      <c r="E7956" s="8">
        <v>119</v>
      </c>
    </row>
    <row r="7957" s="3" customFormat="1" ht="18.75" spans="1:5">
      <c r="A7957" s="8" t="str">
        <f t="shared" si="138"/>
        <v>250034</v>
      </c>
      <c r="B7957" s="8" t="str">
        <f>"2561408014123"</f>
        <v>2561408014123</v>
      </c>
      <c r="C7957" s="8" t="s">
        <v>14</v>
      </c>
      <c r="D7957" s="9">
        <v>55</v>
      </c>
      <c r="E7957" s="8">
        <v>120</v>
      </c>
    </row>
    <row r="7958" s="3" customFormat="1" ht="18.75" spans="1:5">
      <c r="A7958" s="8" t="str">
        <f t="shared" si="138"/>
        <v>250034</v>
      </c>
      <c r="B7958" s="8" t="str">
        <f>"2561408014812"</f>
        <v>2561408014812</v>
      </c>
      <c r="C7958" s="8" t="s">
        <v>14</v>
      </c>
      <c r="D7958" s="9">
        <v>54.98</v>
      </c>
      <c r="E7958" s="8">
        <v>121</v>
      </c>
    </row>
    <row r="7959" s="3" customFormat="1" ht="18.75" spans="1:5">
      <c r="A7959" s="8" t="str">
        <f t="shared" si="138"/>
        <v>250034</v>
      </c>
      <c r="B7959" s="8" t="str">
        <f>"2561408014524"</f>
        <v>2561408014524</v>
      </c>
      <c r="C7959" s="8" t="s">
        <v>14</v>
      </c>
      <c r="D7959" s="9">
        <v>54.96</v>
      </c>
      <c r="E7959" s="8">
        <v>122</v>
      </c>
    </row>
    <row r="7960" s="3" customFormat="1" ht="18.75" spans="1:5">
      <c r="A7960" s="8" t="str">
        <f t="shared" si="138"/>
        <v>250034</v>
      </c>
      <c r="B7960" s="8" t="str">
        <f>"2561408014321"</f>
        <v>2561408014321</v>
      </c>
      <c r="C7960" s="8" t="s">
        <v>14</v>
      </c>
      <c r="D7960" s="9">
        <v>54.95</v>
      </c>
      <c r="E7960" s="8">
        <v>123</v>
      </c>
    </row>
    <row r="7961" s="3" customFormat="1" ht="18.75" spans="1:5">
      <c r="A7961" s="8" t="str">
        <f t="shared" si="138"/>
        <v>250034</v>
      </c>
      <c r="B7961" s="8" t="str">
        <f>"2561408014618"</f>
        <v>2561408014618</v>
      </c>
      <c r="C7961" s="8" t="s">
        <v>14</v>
      </c>
      <c r="D7961" s="9">
        <v>54.91</v>
      </c>
      <c r="E7961" s="8">
        <v>124</v>
      </c>
    </row>
    <row r="7962" s="3" customFormat="1" ht="18.75" spans="1:5">
      <c r="A7962" s="8" t="str">
        <f t="shared" si="138"/>
        <v>250034</v>
      </c>
      <c r="B7962" s="8" t="str">
        <f>"2561408014029"</f>
        <v>2561408014029</v>
      </c>
      <c r="C7962" s="8" t="s">
        <v>14</v>
      </c>
      <c r="D7962" s="9">
        <v>54.87</v>
      </c>
      <c r="E7962" s="8">
        <v>125</v>
      </c>
    </row>
    <row r="7963" s="3" customFormat="1" ht="18.75" spans="1:5">
      <c r="A7963" s="8" t="str">
        <f t="shared" si="138"/>
        <v>250034</v>
      </c>
      <c r="B7963" s="8" t="str">
        <f>"2561408014510"</f>
        <v>2561408014510</v>
      </c>
      <c r="C7963" s="8" t="s">
        <v>14</v>
      </c>
      <c r="D7963" s="9">
        <v>54.6</v>
      </c>
      <c r="E7963" s="8">
        <v>126</v>
      </c>
    </row>
    <row r="7964" s="3" customFormat="1" ht="18.75" spans="1:5">
      <c r="A7964" s="8" t="str">
        <f t="shared" si="138"/>
        <v>250034</v>
      </c>
      <c r="B7964" s="8" t="str">
        <f>"2561408013928"</f>
        <v>2561408013928</v>
      </c>
      <c r="C7964" s="8" t="s">
        <v>14</v>
      </c>
      <c r="D7964" s="9">
        <v>54.59</v>
      </c>
      <c r="E7964" s="8">
        <v>127</v>
      </c>
    </row>
    <row r="7965" s="3" customFormat="1" ht="18.75" spans="1:5">
      <c r="A7965" s="8" t="str">
        <f t="shared" si="138"/>
        <v>250034</v>
      </c>
      <c r="B7965" s="8" t="str">
        <f>"2561408014716"</f>
        <v>2561408014716</v>
      </c>
      <c r="C7965" s="8" t="s">
        <v>14</v>
      </c>
      <c r="D7965" s="9">
        <v>54.26</v>
      </c>
      <c r="E7965" s="8">
        <v>128</v>
      </c>
    </row>
    <row r="7966" s="3" customFormat="1" ht="18.75" spans="1:5">
      <c r="A7966" s="8" t="str">
        <f t="shared" ref="A7966:A8029" si="139">"250034"</f>
        <v>250034</v>
      </c>
      <c r="B7966" s="8" t="str">
        <f>"2561408015103"</f>
        <v>2561408015103</v>
      </c>
      <c r="C7966" s="8" t="s">
        <v>14</v>
      </c>
      <c r="D7966" s="9">
        <v>54.25</v>
      </c>
      <c r="E7966" s="8">
        <v>129</v>
      </c>
    </row>
    <row r="7967" s="3" customFormat="1" ht="18.75" spans="1:5">
      <c r="A7967" s="8" t="str">
        <f t="shared" si="139"/>
        <v>250034</v>
      </c>
      <c r="B7967" s="8" t="str">
        <f>"2561408014027"</f>
        <v>2561408014027</v>
      </c>
      <c r="C7967" s="8" t="s">
        <v>14</v>
      </c>
      <c r="D7967" s="9">
        <v>54.17</v>
      </c>
      <c r="E7967" s="8">
        <v>130</v>
      </c>
    </row>
    <row r="7968" s="3" customFormat="1" ht="18.75" spans="1:5">
      <c r="A7968" s="8" t="str">
        <f t="shared" si="139"/>
        <v>250034</v>
      </c>
      <c r="B7968" s="8" t="str">
        <f>"2561408014730"</f>
        <v>2561408014730</v>
      </c>
      <c r="C7968" s="8" t="s">
        <v>14</v>
      </c>
      <c r="D7968" s="9">
        <v>54.16</v>
      </c>
      <c r="E7968" s="8">
        <v>131</v>
      </c>
    </row>
    <row r="7969" s="3" customFormat="1" ht="18.75" spans="1:5">
      <c r="A7969" s="8" t="str">
        <f t="shared" si="139"/>
        <v>250034</v>
      </c>
      <c r="B7969" s="8" t="str">
        <f>"2561408014112"</f>
        <v>2561408014112</v>
      </c>
      <c r="C7969" s="8" t="s">
        <v>14</v>
      </c>
      <c r="D7969" s="9">
        <v>54.1</v>
      </c>
      <c r="E7969" s="8">
        <v>132</v>
      </c>
    </row>
    <row r="7970" s="3" customFormat="1" ht="18.75" spans="1:5">
      <c r="A7970" s="8" t="str">
        <f t="shared" si="139"/>
        <v>250034</v>
      </c>
      <c r="B7970" s="8" t="str">
        <f>"2561408014424"</f>
        <v>2561408014424</v>
      </c>
      <c r="C7970" s="8" t="s">
        <v>14</v>
      </c>
      <c r="D7970" s="9">
        <v>53.99</v>
      </c>
      <c r="E7970" s="8">
        <v>133</v>
      </c>
    </row>
    <row r="7971" s="3" customFormat="1" ht="18.75" spans="1:5">
      <c r="A7971" s="8" t="str">
        <f t="shared" si="139"/>
        <v>250034</v>
      </c>
      <c r="B7971" s="8" t="str">
        <f>"2561408014002"</f>
        <v>2561408014002</v>
      </c>
      <c r="C7971" s="8" t="s">
        <v>14</v>
      </c>
      <c r="D7971" s="9">
        <v>53.93</v>
      </c>
      <c r="E7971" s="8">
        <v>134</v>
      </c>
    </row>
    <row r="7972" s="3" customFormat="1" ht="18.75" spans="1:5">
      <c r="A7972" s="8" t="str">
        <f t="shared" si="139"/>
        <v>250034</v>
      </c>
      <c r="B7972" s="8" t="str">
        <f>"2561408014111"</f>
        <v>2561408014111</v>
      </c>
      <c r="C7972" s="8" t="s">
        <v>14</v>
      </c>
      <c r="D7972" s="9">
        <v>53.92</v>
      </c>
      <c r="E7972" s="8">
        <v>135</v>
      </c>
    </row>
    <row r="7973" s="3" customFormat="1" ht="18.75" spans="1:5">
      <c r="A7973" s="8" t="str">
        <f t="shared" si="139"/>
        <v>250034</v>
      </c>
      <c r="B7973" s="8" t="str">
        <f>"2561408014217"</f>
        <v>2561408014217</v>
      </c>
      <c r="C7973" s="8" t="s">
        <v>14</v>
      </c>
      <c r="D7973" s="9">
        <v>53.9</v>
      </c>
      <c r="E7973" s="8">
        <v>136</v>
      </c>
    </row>
    <row r="7974" s="3" customFormat="1" ht="18.75" spans="1:5">
      <c r="A7974" s="8" t="str">
        <f t="shared" si="139"/>
        <v>250034</v>
      </c>
      <c r="B7974" s="8" t="str">
        <f>"2561408014121"</f>
        <v>2561408014121</v>
      </c>
      <c r="C7974" s="8" t="s">
        <v>14</v>
      </c>
      <c r="D7974" s="9">
        <v>53.64</v>
      </c>
      <c r="E7974" s="8">
        <v>137</v>
      </c>
    </row>
    <row r="7975" s="3" customFormat="1" ht="18.75" spans="1:5">
      <c r="A7975" s="8" t="str">
        <f t="shared" si="139"/>
        <v>250034</v>
      </c>
      <c r="B7975" s="8" t="str">
        <f>"2561408014215"</f>
        <v>2561408014215</v>
      </c>
      <c r="C7975" s="8" t="s">
        <v>14</v>
      </c>
      <c r="D7975" s="9">
        <v>53.63</v>
      </c>
      <c r="E7975" s="8">
        <v>138</v>
      </c>
    </row>
    <row r="7976" s="3" customFormat="1" ht="18.75" spans="1:5">
      <c r="A7976" s="8" t="str">
        <f t="shared" si="139"/>
        <v>250034</v>
      </c>
      <c r="B7976" s="8" t="str">
        <f>"2561408014514"</f>
        <v>2561408014514</v>
      </c>
      <c r="C7976" s="8" t="s">
        <v>14</v>
      </c>
      <c r="D7976" s="9">
        <v>53.55</v>
      </c>
      <c r="E7976" s="8">
        <v>139</v>
      </c>
    </row>
    <row r="7977" s="3" customFormat="1" ht="18.75" spans="1:5">
      <c r="A7977" s="8" t="str">
        <f t="shared" si="139"/>
        <v>250034</v>
      </c>
      <c r="B7977" s="8" t="str">
        <f>"2561408014218"</f>
        <v>2561408014218</v>
      </c>
      <c r="C7977" s="8" t="s">
        <v>14</v>
      </c>
      <c r="D7977" s="9">
        <v>53.53</v>
      </c>
      <c r="E7977" s="8">
        <v>140</v>
      </c>
    </row>
    <row r="7978" s="3" customFormat="1" ht="18.75" spans="1:5">
      <c r="A7978" s="8" t="str">
        <f t="shared" si="139"/>
        <v>250034</v>
      </c>
      <c r="B7978" s="8" t="str">
        <f>"2561408015026"</f>
        <v>2561408015026</v>
      </c>
      <c r="C7978" s="8" t="s">
        <v>14</v>
      </c>
      <c r="D7978" s="9">
        <v>53.53</v>
      </c>
      <c r="E7978" s="8">
        <v>140</v>
      </c>
    </row>
    <row r="7979" s="3" customFormat="1" ht="18.75" spans="1:5">
      <c r="A7979" s="8" t="str">
        <f t="shared" si="139"/>
        <v>250034</v>
      </c>
      <c r="B7979" s="8" t="str">
        <f>"2561408014223"</f>
        <v>2561408014223</v>
      </c>
      <c r="C7979" s="8" t="s">
        <v>14</v>
      </c>
      <c r="D7979" s="9">
        <v>53.41</v>
      </c>
      <c r="E7979" s="8">
        <v>142</v>
      </c>
    </row>
    <row r="7980" s="3" customFormat="1" ht="18.75" spans="1:5">
      <c r="A7980" s="8" t="str">
        <f t="shared" si="139"/>
        <v>250034</v>
      </c>
      <c r="B7980" s="8" t="str">
        <f>"2561408014813"</f>
        <v>2561408014813</v>
      </c>
      <c r="C7980" s="8" t="s">
        <v>14</v>
      </c>
      <c r="D7980" s="9">
        <v>53.39</v>
      </c>
      <c r="E7980" s="8">
        <v>143</v>
      </c>
    </row>
    <row r="7981" s="3" customFormat="1" ht="18.75" spans="1:5">
      <c r="A7981" s="8" t="str">
        <f t="shared" si="139"/>
        <v>250034</v>
      </c>
      <c r="B7981" s="8" t="str">
        <f>"2561408014225"</f>
        <v>2561408014225</v>
      </c>
      <c r="C7981" s="8" t="s">
        <v>14</v>
      </c>
      <c r="D7981" s="9">
        <v>53.19</v>
      </c>
      <c r="E7981" s="8">
        <v>144</v>
      </c>
    </row>
    <row r="7982" s="3" customFormat="1" ht="18.75" spans="1:5">
      <c r="A7982" s="8" t="str">
        <f t="shared" si="139"/>
        <v>250034</v>
      </c>
      <c r="B7982" s="8" t="str">
        <f>"2561408013909"</f>
        <v>2561408013909</v>
      </c>
      <c r="C7982" s="8" t="s">
        <v>14</v>
      </c>
      <c r="D7982" s="9">
        <v>53.16</v>
      </c>
      <c r="E7982" s="8">
        <v>145</v>
      </c>
    </row>
    <row r="7983" s="3" customFormat="1" ht="18.75" spans="1:5">
      <c r="A7983" s="8" t="str">
        <f t="shared" si="139"/>
        <v>250034</v>
      </c>
      <c r="B7983" s="8" t="str">
        <f>"2561408015001"</f>
        <v>2561408015001</v>
      </c>
      <c r="C7983" s="8" t="s">
        <v>14</v>
      </c>
      <c r="D7983" s="9">
        <v>53.16</v>
      </c>
      <c r="E7983" s="8">
        <v>145</v>
      </c>
    </row>
    <row r="7984" s="3" customFormat="1" ht="18.75" spans="1:5">
      <c r="A7984" s="8" t="str">
        <f t="shared" si="139"/>
        <v>250034</v>
      </c>
      <c r="B7984" s="8" t="str">
        <f>"2561408014503"</f>
        <v>2561408014503</v>
      </c>
      <c r="C7984" s="8" t="s">
        <v>14</v>
      </c>
      <c r="D7984" s="9">
        <v>53.11</v>
      </c>
      <c r="E7984" s="8">
        <v>147</v>
      </c>
    </row>
    <row r="7985" s="3" customFormat="1" ht="18.75" spans="1:5">
      <c r="A7985" s="8" t="str">
        <f t="shared" si="139"/>
        <v>250034</v>
      </c>
      <c r="B7985" s="8" t="str">
        <f>"2561408014817"</f>
        <v>2561408014817</v>
      </c>
      <c r="C7985" s="8" t="s">
        <v>14</v>
      </c>
      <c r="D7985" s="9">
        <v>53.09</v>
      </c>
      <c r="E7985" s="8">
        <v>148</v>
      </c>
    </row>
    <row r="7986" s="3" customFormat="1" ht="18.75" spans="1:5">
      <c r="A7986" s="8" t="str">
        <f t="shared" si="139"/>
        <v>250034</v>
      </c>
      <c r="B7986" s="8" t="str">
        <f>"2561408015005"</f>
        <v>2561408015005</v>
      </c>
      <c r="C7986" s="8" t="s">
        <v>14</v>
      </c>
      <c r="D7986" s="9">
        <v>53.09</v>
      </c>
      <c r="E7986" s="8">
        <v>148</v>
      </c>
    </row>
    <row r="7987" s="3" customFormat="1" ht="18.75" spans="1:5">
      <c r="A7987" s="8" t="str">
        <f t="shared" si="139"/>
        <v>250034</v>
      </c>
      <c r="B7987" s="8" t="str">
        <f>"2561408014904"</f>
        <v>2561408014904</v>
      </c>
      <c r="C7987" s="8" t="s">
        <v>14</v>
      </c>
      <c r="D7987" s="9">
        <v>52.92</v>
      </c>
      <c r="E7987" s="8">
        <v>150</v>
      </c>
    </row>
    <row r="7988" s="3" customFormat="1" ht="18.75" spans="1:5">
      <c r="A7988" s="8" t="str">
        <f t="shared" si="139"/>
        <v>250034</v>
      </c>
      <c r="B7988" s="8" t="str">
        <f>"2561408014604"</f>
        <v>2561408014604</v>
      </c>
      <c r="C7988" s="8" t="s">
        <v>14</v>
      </c>
      <c r="D7988" s="9">
        <v>52.77</v>
      </c>
      <c r="E7988" s="8">
        <v>151</v>
      </c>
    </row>
    <row r="7989" s="3" customFormat="1" ht="18.75" spans="1:5">
      <c r="A7989" s="8" t="str">
        <f t="shared" si="139"/>
        <v>250034</v>
      </c>
      <c r="B7989" s="8" t="str">
        <f>"2561408014616"</f>
        <v>2561408014616</v>
      </c>
      <c r="C7989" s="8" t="s">
        <v>14</v>
      </c>
      <c r="D7989" s="9">
        <v>52.74</v>
      </c>
      <c r="E7989" s="8">
        <v>152</v>
      </c>
    </row>
    <row r="7990" s="3" customFormat="1" ht="18.75" spans="1:5">
      <c r="A7990" s="8" t="str">
        <f t="shared" si="139"/>
        <v>250034</v>
      </c>
      <c r="B7990" s="8" t="str">
        <f>"2561408014601"</f>
        <v>2561408014601</v>
      </c>
      <c r="C7990" s="8" t="s">
        <v>14</v>
      </c>
      <c r="D7990" s="9">
        <v>52.66</v>
      </c>
      <c r="E7990" s="8">
        <v>153</v>
      </c>
    </row>
    <row r="7991" s="3" customFormat="1" ht="18.75" spans="1:5">
      <c r="A7991" s="8" t="str">
        <f t="shared" si="139"/>
        <v>250034</v>
      </c>
      <c r="B7991" s="8" t="str">
        <f>"2561408014705"</f>
        <v>2561408014705</v>
      </c>
      <c r="C7991" s="8" t="s">
        <v>14</v>
      </c>
      <c r="D7991" s="9">
        <v>52.53</v>
      </c>
      <c r="E7991" s="8">
        <v>154</v>
      </c>
    </row>
    <row r="7992" s="3" customFormat="1" ht="18.75" spans="1:5">
      <c r="A7992" s="8" t="str">
        <f t="shared" si="139"/>
        <v>250034</v>
      </c>
      <c r="B7992" s="8" t="str">
        <f>"2561408014115"</f>
        <v>2561408014115</v>
      </c>
      <c r="C7992" s="8" t="s">
        <v>14</v>
      </c>
      <c r="D7992" s="9">
        <v>52.51</v>
      </c>
      <c r="E7992" s="8">
        <v>155</v>
      </c>
    </row>
    <row r="7993" s="3" customFormat="1" ht="18.75" spans="1:5">
      <c r="A7993" s="8" t="str">
        <f t="shared" si="139"/>
        <v>250034</v>
      </c>
      <c r="B7993" s="8" t="str">
        <f>"2561408014221"</f>
        <v>2561408014221</v>
      </c>
      <c r="C7993" s="8" t="s">
        <v>14</v>
      </c>
      <c r="D7993" s="9">
        <v>52.51</v>
      </c>
      <c r="E7993" s="8">
        <v>155</v>
      </c>
    </row>
    <row r="7994" s="3" customFormat="1" ht="18.75" spans="1:5">
      <c r="A7994" s="8" t="str">
        <f t="shared" si="139"/>
        <v>250034</v>
      </c>
      <c r="B7994" s="8" t="str">
        <f>"2561408013929"</f>
        <v>2561408013929</v>
      </c>
      <c r="C7994" s="8" t="s">
        <v>14</v>
      </c>
      <c r="D7994" s="9">
        <v>52.5</v>
      </c>
      <c r="E7994" s="8">
        <v>157</v>
      </c>
    </row>
    <row r="7995" s="3" customFormat="1" ht="18.75" spans="1:5">
      <c r="A7995" s="8" t="str">
        <f t="shared" si="139"/>
        <v>250034</v>
      </c>
      <c r="B7995" s="8" t="str">
        <f>"2561408014820"</f>
        <v>2561408014820</v>
      </c>
      <c r="C7995" s="8" t="s">
        <v>14</v>
      </c>
      <c r="D7995" s="9">
        <v>52.27</v>
      </c>
      <c r="E7995" s="8">
        <v>158</v>
      </c>
    </row>
    <row r="7996" s="3" customFormat="1" ht="18.75" spans="1:5">
      <c r="A7996" s="8" t="str">
        <f t="shared" si="139"/>
        <v>250034</v>
      </c>
      <c r="B7996" s="8" t="str">
        <f>"2561408014807"</f>
        <v>2561408014807</v>
      </c>
      <c r="C7996" s="8" t="s">
        <v>14</v>
      </c>
      <c r="D7996" s="9">
        <v>51.98</v>
      </c>
      <c r="E7996" s="8">
        <v>159</v>
      </c>
    </row>
    <row r="7997" s="3" customFormat="1" ht="18.75" spans="1:5">
      <c r="A7997" s="8" t="str">
        <f t="shared" si="139"/>
        <v>250034</v>
      </c>
      <c r="B7997" s="8" t="str">
        <f>"2561408014222"</f>
        <v>2561408014222</v>
      </c>
      <c r="C7997" s="8" t="s">
        <v>14</v>
      </c>
      <c r="D7997" s="9">
        <v>51.94</v>
      </c>
      <c r="E7997" s="8">
        <v>160</v>
      </c>
    </row>
    <row r="7998" s="3" customFormat="1" ht="18.75" spans="1:5">
      <c r="A7998" s="8" t="str">
        <f t="shared" si="139"/>
        <v>250034</v>
      </c>
      <c r="B7998" s="8" t="str">
        <f>"2561408015115"</f>
        <v>2561408015115</v>
      </c>
      <c r="C7998" s="8" t="s">
        <v>14</v>
      </c>
      <c r="D7998" s="9">
        <v>51.9</v>
      </c>
      <c r="E7998" s="8">
        <v>161</v>
      </c>
    </row>
    <row r="7999" s="3" customFormat="1" ht="18.75" spans="1:5">
      <c r="A7999" s="8" t="str">
        <f t="shared" si="139"/>
        <v>250034</v>
      </c>
      <c r="B7999" s="8" t="str">
        <f>"2561408013923"</f>
        <v>2561408013923</v>
      </c>
      <c r="C7999" s="8" t="s">
        <v>14</v>
      </c>
      <c r="D7999" s="9">
        <v>51.83</v>
      </c>
      <c r="E7999" s="8">
        <v>162</v>
      </c>
    </row>
    <row r="8000" s="3" customFormat="1" ht="18.75" spans="1:5">
      <c r="A8000" s="8" t="str">
        <f t="shared" si="139"/>
        <v>250034</v>
      </c>
      <c r="B8000" s="8" t="str">
        <f>"2561408015003"</f>
        <v>2561408015003</v>
      </c>
      <c r="C8000" s="8" t="s">
        <v>14</v>
      </c>
      <c r="D8000" s="9">
        <v>51.67</v>
      </c>
      <c r="E8000" s="8">
        <v>163</v>
      </c>
    </row>
    <row r="8001" s="3" customFormat="1" ht="18.75" spans="1:5">
      <c r="A8001" s="8" t="str">
        <f t="shared" si="139"/>
        <v>250034</v>
      </c>
      <c r="B8001" s="8" t="str">
        <f>"2561408015124"</f>
        <v>2561408015124</v>
      </c>
      <c r="C8001" s="8" t="s">
        <v>14</v>
      </c>
      <c r="D8001" s="9">
        <v>51.57</v>
      </c>
      <c r="E8001" s="8">
        <v>164</v>
      </c>
    </row>
    <row r="8002" s="3" customFormat="1" ht="18.75" spans="1:5">
      <c r="A8002" s="8" t="str">
        <f t="shared" si="139"/>
        <v>250034</v>
      </c>
      <c r="B8002" s="8" t="str">
        <f>"2561408014322"</f>
        <v>2561408014322</v>
      </c>
      <c r="C8002" s="8" t="s">
        <v>14</v>
      </c>
      <c r="D8002" s="9">
        <v>51.46</v>
      </c>
      <c r="E8002" s="8">
        <v>165</v>
      </c>
    </row>
    <row r="8003" s="3" customFormat="1" ht="18.75" spans="1:5">
      <c r="A8003" s="8" t="str">
        <f t="shared" si="139"/>
        <v>250034</v>
      </c>
      <c r="B8003" s="8" t="str">
        <f>"2561408014721"</f>
        <v>2561408014721</v>
      </c>
      <c r="C8003" s="8" t="s">
        <v>14</v>
      </c>
      <c r="D8003" s="9">
        <v>51.46</v>
      </c>
      <c r="E8003" s="8">
        <v>165</v>
      </c>
    </row>
    <row r="8004" s="3" customFormat="1" ht="18.75" spans="1:5">
      <c r="A8004" s="8" t="str">
        <f t="shared" si="139"/>
        <v>250034</v>
      </c>
      <c r="B8004" s="8" t="str">
        <f>"2561408015029"</f>
        <v>2561408015029</v>
      </c>
      <c r="C8004" s="8" t="s">
        <v>14</v>
      </c>
      <c r="D8004" s="9">
        <v>51.45</v>
      </c>
      <c r="E8004" s="8">
        <v>167</v>
      </c>
    </row>
    <row r="8005" s="3" customFormat="1" ht="18.75" spans="1:5">
      <c r="A8005" s="8" t="str">
        <f t="shared" si="139"/>
        <v>250034</v>
      </c>
      <c r="B8005" s="8" t="str">
        <f>"2561408014724"</f>
        <v>2561408014724</v>
      </c>
      <c r="C8005" s="8" t="s">
        <v>14</v>
      </c>
      <c r="D8005" s="9">
        <v>51.4</v>
      </c>
      <c r="E8005" s="8">
        <v>168</v>
      </c>
    </row>
    <row r="8006" s="3" customFormat="1" ht="18.75" spans="1:5">
      <c r="A8006" s="8" t="str">
        <f t="shared" si="139"/>
        <v>250034</v>
      </c>
      <c r="B8006" s="8" t="str">
        <f>"2561408015126"</f>
        <v>2561408015126</v>
      </c>
      <c r="C8006" s="8" t="s">
        <v>14</v>
      </c>
      <c r="D8006" s="9">
        <v>51.26</v>
      </c>
      <c r="E8006" s="8">
        <v>169</v>
      </c>
    </row>
    <row r="8007" s="3" customFormat="1" ht="18.75" spans="1:5">
      <c r="A8007" s="8" t="str">
        <f t="shared" si="139"/>
        <v>250034</v>
      </c>
      <c r="B8007" s="8" t="str">
        <f>"2561408015106"</f>
        <v>2561408015106</v>
      </c>
      <c r="C8007" s="8" t="s">
        <v>14</v>
      </c>
      <c r="D8007" s="9">
        <v>51.21</v>
      </c>
      <c r="E8007" s="8">
        <v>170</v>
      </c>
    </row>
    <row r="8008" s="3" customFormat="1" ht="18.75" spans="1:5">
      <c r="A8008" s="8" t="str">
        <f t="shared" si="139"/>
        <v>250034</v>
      </c>
      <c r="B8008" s="8" t="str">
        <f>"2561408015006"</f>
        <v>2561408015006</v>
      </c>
      <c r="C8008" s="8" t="s">
        <v>14</v>
      </c>
      <c r="D8008" s="9">
        <v>51.16</v>
      </c>
      <c r="E8008" s="8">
        <v>171</v>
      </c>
    </row>
    <row r="8009" s="3" customFormat="1" ht="18.75" spans="1:5">
      <c r="A8009" s="8" t="str">
        <f t="shared" si="139"/>
        <v>250034</v>
      </c>
      <c r="B8009" s="8" t="str">
        <f>"2561408015111"</f>
        <v>2561408015111</v>
      </c>
      <c r="C8009" s="8" t="s">
        <v>14</v>
      </c>
      <c r="D8009" s="9">
        <v>51.16</v>
      </c>
      <c r="E8009" s="8">
        <v>171</v>
      </c>
    </row>
    <row r="8010" s="3" customFormat="1" ht="18.75" spans="1:5">
      <c r="A8010" s="8" t="str">
        <f t="shared" si="139"/>
        <v>250034</v>
      </c>
      <c r="B8010" s="8" t="str">
        <f>"2561408015110"</f>
        <v>2561408015110</v>
      </c>
      <c r="C8010" s="8" t="s">
        <v>14</v>
      </c>
      <c r="D8010" s="9">
        <v>51.07</v>
      </c>
      <c r="E8010" s="8">
        <v>173</v>
      </c>
    </row>
    <row r="8011" s="3" customFormat="1" ht="18.75" spans="1:5">
      <c r="A8011" s="8" t="str">
        <f t="shared" si="139"/>
        <v>250034</v>
      </c>
      <c r="B8011" s="8" t="str">
        <f>"2561408014004"</f>
        <v>2561408014004</v>
      </c>
      <c r="C8011" s="8" t="s">
        <v>14</v>
      </c>
      <c r="D8011" s="9">
        <v>51.03</v>
      </c>
      <c r="E8011" s="8">
        <v>174</v>
      </c>
    </row>
    <row r="8012" s="3" customFormat="1" ht="18.75" spans="1:5">
      <c r="A8012" s="8" t="str">
        <f t="shared" si="139"/>
        <v>250034</v>
      </c>
      <c r="B8012" s="8" t="str">
        <f>"2561408014113"</f>
        <v>2561408014113</v>
      </c>
      <c r="C8012" s="8" t="s">
        <v>14</v>
      </c>
      <c r="D8012" s="9">
        <v>51.02</v>
      </c>
      <c r="E8012" s="8">
        <v>175</v>
      </c>
    </row>
    <row r="8013" s="3" customFormat="1" ht="18.75" spans="1:5">
      <c r="A8013" s="8" t="str">
        <f t="shared" si="139"/>
        <v>250034</v>
      </c>
      <c r="B8013" s="8" t="str">
        <f>"2561408014012"</f>
        <v>2561408014012</v>
      </c>
      <c r="C8013" s="8" t="s">
        <v>14</v>
      </c>
      <c r="D8013" s="9">
        <v>51.01</v>
      </c>
      <c r="E8013" s="8">
        <v>176</v>
      </c>
    </row>
    <row r="8014" s="3" customFormat="1" ht="18.75" spans="1:5">
      <c r="A8014" s="8" t="str">
        <f t="shared" si="139"/>
        <v>250034</v>
      </c>
      <c r="B8014" s="8" t="str">
        <f>"2561408014511"</f>
        <v>2561408014511</v>
      </c>
      <c r="C8014" s="8" t="s">
        <v>14</v>
      </c>
      <c r="D8014" s="9">
        <v>51.01</v>
      </c>
      <c r="E8014" s="8">
        <v>176</v>
      </c>
    </row>
    <row r="8015" s="3" customFormat="1" ht="18.75" spans="1:5">
      <c r="A8015" s="8" t="str">
        <f t="shared" si="139"/>
        <v>250034</v>
      </c>
      <c r="B8015" s="8" t="str">
        <f>"2561408014226"</f>
        <v>2561408014226</v>
      </c>
      <c r="C8015" s="8" t="s">
        <v>14</v>
      </c>
      <c r="D8015" s="9">
        <v>50.9</v>
      </c>
      <c r="E8015" s="8">
        <v>178</v>
      </c>
    </row>
    <row r="8016" s="3" customFormat="1" ht="18.75" spans="1:5">
      <c r="A8016" s="8" t="str">
        <f t="shared" si="139"/>
        <v>250034</v>
      </c>
      <c r="B8016" s="8" t="str">
        <f>"2561408014014"</f>
        <v>2561408014014</v>
      </c>
      <c r="C8016" s="8" t="s">
        <v>14</v>
      </c>
      <c r="D8016" s="9">
        <v>50.89</v>
      </c>
      <c r="E8016" s="8">
        <v>179</v>
      </c>
    </row>
    <row r="8017" s="3" customFormat="1" ht="18.75" spans="1:5">
      <c r="A8017" s="8" t="str">
        <f t="shared" si="139"/>
        <v>250034</v>
      </c>
      <c r="B8017" s="8" t="str">
        <f>"2561408015122"</f>
        <v>2561408015122</v>
      </c>
      <c r="C8017" s="8" t="s">
        <v>14</v>
      </c>
      <c r="D8017" s="9">
        <v>50.77</v>
      </c>
      <c r="E8017" s="8">
        <v>180</v>
      </c>
    </row>
    <row r="8018" s="3" customFormat="1" ht="18.75" spans="1:5">
      <c r="A8018" s="8" t="str">
        <f t="shared" si="139"/>
        <v>250034</v>
      </c>
      <c r="B8018" s="8" t="str">
        <f>"2561408014923"</f>
        <v>2561408014923</v>
      </c>
      <c r="C8018" s="8" t="s">
        <v>14</v>
      </c>
      <c r="D8018" s="9">
        <v>50.66</v>
      </c>
      <c r="E8018" s="8">
        <v>181</v>
      </c>
    </row>
    <row r="8019" s="3" customFormat="1" ht="18.75" spans="1:5">
      <c r="A8019" s="8" t="str">
        <f t="shared" si="139"/>
        <v>250034</v>
      </c>
      <c r="B8019" s="8" t="str">
        <f>"2561408015024"</f>
        <v>2561408015024</v>
      </c>
      <c r="C8019" s="8" t="s">
        <v>14</v>
      </c>
      <c r="D8019" s="9">
        <v>50.48</v>
      </c>
      <c r="E8019" s="8">
        <v>182</v>
      </c>
    </row>
    <row r="8020" s="3" customFormat="1" ht="18.75" spans="1:5">
      <c r="A8020" s="8" t="str">
        <f t="shared" si="139"/>
        <v>250034</v>
      </c>
      <c r="B8020" s="8" t="str">
        <f>"2561408014413"</f>
        <v>2561408014413</v>
      </c>
      <c r="C8020" s="8" t="s">
        <v>14</v>
      </c>
      <c r="D8020" s="9">
        <v>50.47</v>
      </c>
      <c r="E8020" s="8">
        <v>183</v>
      </c>
    </row>
    <row r="8021" s="3" customFormat="1" ht="18.75" spans="1:5">
      <c r="A8021" s="8" t="str">
        <f t="shared" si="139"/>
        <v>250034</v>
      </c>
      <c r="B8021" s="8" t="str">
        <f>"2561408014425"</f>
        <v>2561408014425</v>
      </c>
      <c r="C8021" s="8" t="s">
        <v>14</v>
      </c>
      <c r="D8021" s="9">
        <v>50.45</v>
      </c>
      <c r="E8021" s="8">
        <v>184</v>
      </c>
    </row>
    <row r="8022" s="3" customFormat="1" ht="18.75" spans="1:5">
      <c r="A8022" s="8" t="str">
        <f t="shared" si="139"/>
        <v>250034</v>
      </c>
      <c r="B8022" s="8" t="str">
        <f>"2561408014114"</f>
        <v>2561408014114</v>
      </c>
      <c r="C8022" s="8" t="s">
        <v>14</v>
      </c>
      <c r="D8022" s="9">
        <v>50.43</v>
      </c>
      <c r="E8022" s="8">
        <v>185</v>
      </c>
    </row>
    <row r="8023" s="3" customFormat="1" ht="18.75" spans="1:5">
      <c r="A8023" s="8" t="str">
        <f t="shared" si="139"/>
        <v>250034</v>
      </c>
      <c r="B8023" s="8" t="str">
        <f>"2561408014629"</f>
        <v>2561408014629</v>
      </c>
      <c r="C8023" s="8" t="s">
        <v>14</v>
      </c>
      <c r="D8023" s="9">
        <v>50.4</v>
      </c>
      <c r="E8023" s="8">
        <v>186</v>
      </c>
    </row>
    <row r="8024" s="3" customFormat="1" ht="18.75" spans="1:5">
      <c r="A8024" s="8" t="str">
        <f t="shared" si="139"/>
        <v>250034</v>
      </c>
      <c r="B8024" s="8" t="str">
        <f>"2561408015209"</f>
        <v>2561408015209</v>
      </c>
      <c r="C8024" s="8" t="s">
        <v>14</v>
      </c>
      <c r="D8024" s="9">
        <v>50.39</v>
      </c>
      <c r="E8024" s="8">
        <v>187</v>
      </c>
    </row>
    <row r="8025" s="3" customFormat="1" ht="18.75" spans="1:5">
      <c r="A8025" s="8" t="str">
        <f t="shared" si="139"/>
        <v>250034</v>
      </c>
      <c r="B8025" s="8" t="str">
        <f>"2561408015027"</f>
        <v>2561408015027</v>
      </c>
      <c r="C8025" s="8" t="s">
        <v>14</v>
      </c>
      <c r="D8025" s="9">
        <v>50.2</v>
      </c>
      <c r="E8025" s="8">
        <v>188</v>
      </c>
    </row>
    <row r="8026" s="3" customFormat="1" ht="18.75" spans="1:5">
      <c r="A8026" s="8" t="str">
        <f t="shared" si="139"/>
        <v>250034</v>
      </c>
      <c r="B8026" s="8" t="str">
        <f>"2561408014314"</f>
        <v>2561408014314</v>
      </c>
      <c r="C8026" s="8" t="s">
        <v>14</v>
      </c>
      <c r="D8026" s="9">
        <v>50.16</v>
      </c>
      <c r="E8026" s="8">
        <v>189</v>
      </c>
    </row>
    <row r="8027" s="3" customFormat="1" ht="18.75" spans="1:5">
      <c r="A8027" s="8" t="str">
        <f t="shared" si="139"/>
        <v>250034</v>
      </c>
      <c r="B8027" s="8" t="str">
        <f>"2561408015203"</f>
        <v>2561408015203</v>
      </c>
      <c r="C8027" s="8" t="s">
        <v>14</v>
      </c>
      <c r="D8027" s="9">
        <v>49.94</v>
      </c>
      <c r="E8027" s="8">
        <v>190</v>
      </c>
    </row>
    <row r="8028" s="3" customFormat="1" ht="18.75" spans="1:5">
      <c r="A8028" s="8" t="str">
        <f t="shared" si="139"/>
        <v>250034</v>
      </c>
      <c r="B8028" s="8" t="str">
        <f>"2561408015004"</f>
        <v>2561408015004</v>
      </c>
      <c r="C8028" s="8" t="s">
        <v>14</v>
      </c>
      <c r="D8028" s="9">
        <v>49.75</v>
      </c>
      <c r="E8028" s="8">
        <v>191</v>
      </c>
    </row>
    <row r="8029" s="3" customFormat="1" ht="18.75" spans="1:5">
      <c r="A8029" s="8" t="str">
        <f t="shared" si="139"/>
        <v>250034</v>
      </c>
      <c r="B8029" s="8" t="str">
        <f>"2561408014401"</f>
        <v>2561408014401</v>
      </c>
      <c r="C8029" s="8" t="s">
        <v>14</v>
      </c>
      <c r="D8029" s="9">
        <v>49.74</v>
      </c>
      <c r="E8029" s="8">
        <v>192</v>
      </c>
    </row>
    <row r="8030" s="3" customFormat="1" ht="18.75" spans="1:5">
      <c r="A8030" s="8" t="str">
        <f t="shared" ref="A8030:A8093" si="140">"250034"</f>
        <v>250034</v>
      </c>
      <c r="B8030" s="8" t="str">
        <f>"2561408014408"</f>
        <v>2561408014408</v>
      </c>
      <c r="C8030" s="8" t="s">
        <v>14</v>
      </c>
      <c r="D8030" s="9">
        <v>49.65</v>
      </c>
      <c r="E8030" s="8">
        <v>193</v>
      </c>
    </row>
    <row r="8031" s="3" customFormat="1" ht="18.75" spans="1:5">
      <c r="A8031" s="8" t="str">
        <f t="shared" si="140"/>
        <v>250034</v>
      </c>
      <c r="B8031" s="8" t="str">
        <f>"2561408014105"</f>
        <v>2561408014105</v>
      </c>
      <c r="C8031" s="8" t="s">
        <v>14</v>
      </c>
      <c r="D8031" s="9">
        <v>49.64</v>
      </c>
      <c r="E8031" s="8">
        <v>194</v>
      </c>
    </row>
    <row r="8032" s="3" customFormat="1" ht="18.75" spans="1:5">
      <c r="A8032" s="8" t="str">
        <f t="shared" si="140"/>
        <v>250034</v>
      </c>
      <c r="B8032" s="8" t="str">
        <f>"2561408014311"</f>
        <v>2561408014311</v>
      </c>
      <c r="C8032" s="8" t="s">
        <v>14</v>
      </c>
      <c r="D8032" s="9">
        <v>49.47</v>
      </c>
      <c r="E8032" s="8">
        <v>195</v>
      </c>
    </row>
    <row r="8033" s="3" customFormat="1" ht="18.75" spans="1:5">
      <c r="A8033" s="8" t="str">
        <f t="shared" si="140"/>
        <v>250034</v>
      </c>
      <c r="B8033" s="8" t="str">
        <f>"2561408014418"</f>
        <v>2561408014418</v>
      </c>
      <c r="C8033" s="8" t="s">
        <v>14</v>
      </c>
      <c r="D8033" s="9">
        <v>49.31</v>
      </c>
      <c r="E8033" s="8">
        <v>196</v>
      </c>
    </row>
    <row r="8034" s="3" customFormat="1" ht="18.75" spans="1:5">
      <c r="A8034" s="8" t="str">
        <f t="shared" si="140"/>
        <v>250034</v>
      </c>
      <c r="B8034" s="8" t="str">
        <f>"2561408014706"</f>
        <v>2561408014706</v>
      </c>
      <c r="C8034" s="8" t="s">
        <v>14</v>
      </c>
      <c r="D8034" s="9">
        <v>49.17</v>
      </c>
      <c r="E8034" s="8">
        <v>197</v>
      </c>
    </row>
    <row r="8035" s="3" customFormat="1" ht="18.75" spans="1:5">
      <c r="A8035" s="8" t="str">
        <f t="shared" si="140"/>
        <v>250034</v>
      </c>
      <c r="B8035" s="8" t="str">
        <f>"2561408014910"</f>
        <v>2561408014910</v>
      </c>
      <c r="C8035" s="8" t="s">
        <v>14</v>
      </c>
      <c r="D8035" s="9">
        <v>49.16</v>
      </c>
      <c r="E8035" s="8">
        <v>198</v>
      </c>
    </row>
    <row r="8036" s="3" customFormat="1" ht="18.75" spans="1:5">
      <c r="A8036" s="8" t="str">
        <f t="shared" si="140"/>
        <v>250034</v>
      </c>
      <c r="B8036" s="8" t="str">
        <f>"2561408014803"</f>
        <v>2561408014803</v>
      </c>
      <c r="C8036" s="8" t="s">
        <v>14</v>
      </c>
      <c r="D8036" s="9">
        <v>48.81</v>
      </c>
      <c r="E8036" s="8">
        <v>199</v>
      </c>
    </row>
    <row r="8037" s="3" customFormat="1" ht="18.75" spans="1:5">
      <c r="A8037" s="8" t="str">
        <f t="shared" si="140"/>
        <v>250034</v>
      </c>
      <c r="B8037" s="8" t="str">
        <f>"2561408014525"</f>
        <v>2561408014525</v>
      </c>
      <c r="C8037" s="8" t="s">
        <v>14</v>
      </c>
      <c r="D8037" s="9">
        <v>48.74</v>
      </c>
      <c r="E8037" s="8">
        <v>200</v>
      </c>
    </row>
    <row r="8038" s="3" customFormat="1" ht="18.75" spans="1:5">
      <c r="A8038" s="8" t="str">
        <f t="shared" si="140"/>
        <v>250034</v>
      </c>
      <c r="B8038" s="8" t="str">
        <f>"2561408014124"</f>
        <v>2561408014124</v>
      </c>
      <c r="C8038" s="8" t="s">
        <v>14</v>
      </c>
      <c r="D8038" s="9">
        <v>48.71</v>
      </c>
      <c r="E8038" s="8">
        <v>201</v>
      </c>
    </row>
    <row r="8039" s="3" customFormat="1" ht="18.75" spans="1:5">
      <c r="A8039" s="8" t="str">
        <f t="shared" si="140"/>
        <v>250034</v>
      </c>
      <c r="B8039" s="8" t="str">
        <f>"2561408013915"</f>
        <v>2561408013915</v>
      </c>
      <c r="C8039" s="8" t="s">
        <v>14</v>
      </c>
      <c r="D8039" s="9">
        <v>48.58</v>
      </c>
      <c r="E8039" s="8">
        <v>202</v>
      </c>
    </row>
    <row r="8040" s="3" customFormat="1" ht="18.75" spans="1:5">
      <c r="A8040" s="8" t="str">
        <f t="shared" si="140"/>
        <v>250034</v>
      </c>
      <c r="B8040" s="8" t="str">
        <f>"2561408014916"</f>
        <v>2561408014916</v>
      </c>
      <c r="C8040" s="8" t="s">
        <v>14</v>
      </c>
      <c r="D8040" s="9">
        <v>48.51</v>
      </c>
      <c r="E8040" s="8">
        <v>203</v>
      </c>
    </row>
    <row r="8041" s="3" customFormat="1" ht="18.75" spans="1:5">
      <c r="A8041" s="8" t="str">
        <f t="shared" si="140"/>
        <v>250034</v>
      </c>
      <c r="B8041" s="8" t="str">
        <f>"2561408013921"</f>
        <v>2561408013921</v>
      </c>
      <c r="C8041" s="8" t="s">
        <v>14</v>
      </c>
      <c r="D8041" s="9">
        <v>48.41</v>
      </c>
      <c r="E8041" s="8">
        <v>204</v>
      </c>
    </row>
    <row r="8042" s="3" customFormat="1" ht="18.75" spans="1:5">
      <c r="A8042" s="8" t="str">
        <f t="shared" si="140"/>
        <v>250034</v>
      </c>
      <c r="B8042" s="8" t="str">
        <f>"2561408014216"</f>
        <v>2561408014216</v>
      </c>
      <c r="C8042" s="8" t="s">
        <v>14</v>
      </c>
      <c r="D8042" s="9">
        <v>48.11</v>
      </c>
      <c r="E8042" s="8">
        <v>205</v>
      </c>
    </row>
    <row r="8043" s="3" customFormat="1" ht="18.75" spans="1:5">
      <c r="A8043" s="8" t="str">
        <f t="shared" si="140"/>
        <v>250034</v>
      </c>
      <c r="B8043" s="8" t="str">
        <f>"2561408014615"</f>
        <v>2561408014615</v>
      </c>
      <c r="C8043" s="8" t="s">
        <v>14</v>
      </c>
      <c r="D8043" s="9">
        <v>48.03</v>
      </c>
      <c r="E8043" s="8">
        <v>206</v>
      </c>
    </row>
    <row r="8044" s="3" customFormat="1" ht="18.75" spans="1:5">
      <c r="A8044" s="8" t="str">
        <f t="shared" si="140"/>
        <v>250034</v>
      </c>
      <c r="B8044" s="8" t="str">
        <f>"2561408015105"</f>
        <v>2561408015105</v>
      </c>
      <c r="C8044" s="8" t="s">
        <v>14</v>
      </c>
      <c r="D8044" s="9">
        <v>48.01</v>
      </c>
      <c r="E8044" s="8">
        <v>207</v>
      </c>
    </row>
    <row r="8045" s="3" customFormat="1" ht="18.75" spans="1:5">
      <c r="A8045" s="8" t="str">
        <f t="shared" si="140"/>
        <v>250034</v>
      </c>
      <c r="B8045" s="8" t="str">
        <f>"2561408014324"</f>
        <v>2561408014324</v>
      </c>
      <c r="C8045" s="8" t="s">
        <v>14</v>
      </c>
      <c r="D8045" s="9">
        <v>47.95</v>
      </c>
      <c r="E8045" s="8">
        <v>208</v>
      </c>
    </row>
    <row r="8046" s="3" customFormat="1" ht="18.75" spans="1:5">
      <c r="A8046" s="8" t="str">
        <f t="shared" si="140"/>
        <v>250034</v>
      </c>
      <c r="B8046" s="8" t="str">
        <f>"2561408014209"</f>
        <v>2561408014209</v>
      </c>
      <c r="C8046" s="8" t="s">
        <v>14</v>
      </c>
      <c r="D8046" s="9">
        <v>47.71</v>
      </c>
      <c r="E8046" s="8">
        <v>209</v>
      </c>
    </row>
    <row r="8047" s="3" customFormat="1" ht="18.75" spans="1:5">
      <c r="A8047" s="8" t="str">
        <f t="shared" si="140"/>
        <v>250034</v>
      </c>
      <c r="B8047" s="8" t="str">
        <f>"2561408014506"</f>
        <v>2561408014506</v>
      </c>
      <c r="C8047" s="8" t="s">
        <v>14</v>
      </c>
      <c r="D8047" s="9">
        <v>47.64</v>
      </c>
      <c r="E8047" s="8">
        <v>210</v>
      </c>
    </row>
    <row r="8048" s="3" customFormat="1" ht="18.75" spans="1:5">
      <c r="A8048" s="8" t="str">
        <f t="shared" si="140"/>
        <v>250034</v>
      </c>
      <c r="B8048" s="8" t="str">
        <f>"2561408015010"</f>
        <v>2561408015010</v>
      </c>
      <c r="C8048" s="8" t="s">
        <v>14</v>
      </c>
      <c r="D8048" s="9">
        <v>47.59</v>
      </c>
      <c r="E8048" s="8">
        <v>211</v>
      </c>
    </row>
    <row r="8049" s="3" customFormat="1" ht="18.75" spans="1:5">
      <c r="A8049" s="8" t="str">
        <f t="shared" si="140"/>
        <v>250034</v>
      </c>
      <c r="B8049" s="8" t="str">
        <f>"2561408013927"</f>
        <v>2561408013927</v>
      </c>
      <c r="C8049" s="8" t="s">
        <v>14</v>
      </c>
      <c r="D8049" s="9">
        <v>47.32</v>
      </c>
      <c r="E8049" s="8">
        <v>212</v>
      </c>
    </row>
    <row r="8050" s="3" customFormat="1" ht="18.75" spans="1:5">
      <c r="A8050" s="8" t="str">
        <f t="shared" si="140"/>
        <v>250034</v>
      </c>
      <c r="B8050" s="8" t="str">
        <f>"2561408014603"</f>
        <v>2561408014603</v>
      </c>
      <c r="C8050" s="8" t="s">
        <v>14</v>
      </c>
      <c r="D8050" s="9">
        <v>47.03</v>
      </c>
      <c r="E8050" s="8">
        <v>213</v>
      </c>
    </row>
    <row r="8051" s="3" customFormat="1" ht="18.75" spans="1:5">
      <c r="A8051" s="8" t="str">
        <f t="shared" si="140"/>
        <v>250034</v>
      </c>
      <c r="B8051" s="8" t="str">
        <f>"2561408014326"</f>
        <v>2561408014326</v>
      </c>
      <c r="C8051" s="8" t="s">
        <v>14</v>
      </c>
      <c r="D8051" s="9">
        <v>46.99</v>
      </c>
      <c r="E8051" s="8">
        <v>214</v>
      </c>
    </row>
    <row r="8052" s="3" customFormat="1" ht="18.75" spans="1:5">
      <c r="A8052" s="8" t="str">
        <f t="shared" si="140"/>
        <v>250034</v>
      </c>
      <c r="B8052" s="8" t="str">
        <f>"2561408014207"</f>
        <v>2561408014207</v>
      </c>
      <c r="C8052" s="8" t="s">
        <v>14</v>
      </c>
      <c r="D8052" s="9">
        <v>46.72</v>
      </c>
      <c r="E8052" s="8">
        <v>215</v>
      </c>
    </row>
    <row r="8053" s="3" customFormat="1" ht="18.75" spans="1:5">
      <c r="A8053" s="8" t="str">
        <f t="shared" si="140"/>
        <v>250034</v>
      </c>
      <c r="B8053" s="8" t="str">
        <f>"2561408015116"</f>
        <v>2561408015116</v>
      </c>
      <c r="C8053" s="8" t="s">
        <v>14</v>
      </c>
      <c r="D8053" s="9">
        <v>46.28</v>
      </c>
      <c r="E8053" s="8">
        <v>216</v>
      </c>
    </row>
    <row r="8054" s="3" customFormat="1" ht="18.75" spans="1:5">
      <c r="A8054" s="8" t="str">
        <f t="shared" si="140"/>
        <v>250034</v>
      </c>
      <c r="B8054" s="8" t="str">
        <f>"2561408015014"</f>
        <v>2561408015014</v>
      </c>
      <c r="C8054" s="8" t="s">
        <v>14</v>
      </c>
      <c r="D8054" s="9">
        <v>45.76</v>
      </c>
      <c r="E8054" s="8">
        <v>217</v>
      </c>
    </row>
    <row r="8055" s="3" customFormat="1" ht="18.75" spans="1:5">
      <c r="A8055" s="8" t="str">
        <f t="shared" si="140"/>
        <v>250034</v>
      </c>
      <c r="B8055" s="8" t="str">
        <f>"2561408014414"</f>
        <v>2561408014414</v>
      </c>
      <c r="C8055" s="8" t="s">
        <v>14</v>
      </c>
      <c r="D8055" s="9">
        <v>45.16</v>
      </c>
      <c r="E8055" s="8">
        <v>218</v>
      </c>
    </row>
    <row r="8056" s="3" customFormat="1" ht="18.75" spans="1:5">
      <c r="A8056" s="8" t="str">
        <f t="shared" si="140"/>
        <v>250034</v>
      </c>
      <c r="B8056" s="8" t="str">
        <f>"2561408014621"</f>
        <v>2561408014621</v>
      </c>
      <c r="C8056" s="8" t="s">
        <v>14</v>
      </c>
      <c r="D8056" s="9">
        <v>45.1</v>
      </c>
      <c r="E8056" s="8">
        <v>219</v>
      </c>
    </row>
    <row r="8057" s="3" customFormat="1" ht="18.75" spans="1:5">
      <c r="A8057" s="8" t="str">
        <f t="shared" si="140"/>
        <v>250034</v>
      </c>
      <c r="B8057" s="8" t="str">
        <f>"2561408014306"</f>
        <v>2561408014306</v>
      </c>
      <c r="C8057" s="8" t="s">
        <v>14</v>
      </c>
      <c r="D8057" s="9">
        <v>44.98</v>
      </c>
      <c r="E8057" s="8">
        <v>220</v>
      </c>
    </row>
    <row r="8058" s="3" customFormat="1" ht="18.75" spans="1:5">
      <c r="A8058" s="8" t="str">
        <f t="shared" si="140"/>
        <v>250034</v>
      </c>
      <c r="B8058" s="8" t="str">
        <f>"2561408014520"</f>
        <v>2561408014520</v>
      </c>
      <c r="C8058" s="8" t="s">
        <v>14</v>
      </c>
      <c r="D8058" s="9">
        <v>44.73</v>
      </c>
      <c r="E8058" s="8">
        <v>221</v>
      </c>
    </row>
    <row r="8059" s="3" customFormat="1" ht="18.75" spans="1:5">
      <c r="A8059" s="8" t="str">
        <f t="shared" si="140"/>
        <v>250034</v>
      </c>
      <c r="B8059" s="8" t="str">
        <f>"2561408014713"</f>
        <v>2561408014713</v>
      </c>
      <c r="C8059" s="8" t="s">
        <v>14</v>
      </c>
      <c r="D8059" s="9">
        <v>44.68</v>
      </c>
      <c r="E8059" s="8">
        <v>222</v>
      </c>
    </row>
    <row r="8060" s="3" customFormat="1" ht="18.75" spans="1:5">
      <c r="A8060" s="8" t="str">
        <f t="shared" si="140"/>
        <v>250034</v>
      </c>
      <c r="B8060" s="8" t="str">
        <f>"2561408014602"</f>
        <v>2561408014602</v>
      </c>
      <c r="C8060" s="8" t="s">
        <v>14</v>
      </c>
      <c r="D8060" s="9">
        <v>44.18</v>
      </c>
      <c r="E8060" s="8">
        <v>223</v>
      </c>
    </row>
    <row r="8061" s="3" customFormat="1" ht="18.75" spans="1:5">
      <c r="A8061" s="8" t="str">
        <f t="shared" si="140"/>
        <v>250034</v>
      </c>
      <c r="B8061" s="8" t="str">
        <f>"2561408015127"</f>
        <v>2561408015127</v>
      </c>
      <c r="C8061" s="8" t="s">
        <v>14</v>
      </c>
      <c r="D8061" s="9">
        <v>43.99</v>
      </c>
      <c r="E8061" s="8">
        <v>224</v>
      </c>
    </row>
    <row r="8062" s="3" customFormat="1" ht="18.75" spans="1:5">
      <c r="A8062" s="8" t="str">
        <f t="shared" si="140"/>
        <v>250034</v>
      </c>
      <c r="B8062" s="8" t="str">
        <f>"2561408014523"</f>
        <v>2561408014523</v>
      </c>
      <c r="C8062" s="8" t="s">
        <v>14</v>
      </c>
      <c r="D8062" s="9">
        <v>43.9</v>
      </c>
      <c r="E8062" s="8">
        <v>225</v>
      </c>
    </row>
    <row r="8063" s="3" customFormat="1" ht="18.75" spans="1:5">
      <c r="A8063" s="8" t="str">
        <f t="shared" si="140"/>
        <v>250034</v>
      </c>
      <c r="B8063" s="8" t="str">
        <f>"2561408014405"</f>
        <v>2561408014405</v>
      </c>
      <c r="C8063" s="8" t="s">
        <v>14</v>
      </c>
      <c r="D8063" s="9">
        <v>43.87</v>
      </c>
      <c r="E8063" s="8">
        <v>226</v>
      </c>
    </row>
    <row r="8064" s="3" customFormat="1" ht="18.75" spans="1:5">
      <c r="A8064" s="8" t="str">
        <f t="shared" si="140"/>
        <v>250034</v>
      </c>
      <c r="B8064" s="8" t="str">
        <f>"2561408014422"</f>
        <v>2561408014422</v>
      </c>
      <c r="C8064" s="8" t="s">
        <v>14</v>
      </c>
      <c r="D8064" s="9">
        <v>43.74</v>
      </c>
      <c r="E8064" s="8">
        <v>227</v>
      </c>
    </row>
    <row r="8065" s="3" customFormat="1" ht="18.75" spans="1:5">
      <c r="A8065" s="8" t="str">
        <f t="shared" si="140"/>
        <v>250034</v>
      </c>
      <c r="B8065" s="8" t="str">
        <f>"2561408014704"</f>
        <v>2561408014704</v>
      </c>
      <c r="C8065" s="8" t="s">
        <v>14</v>
      </c>
      <c r="D8065" s="9">
        <v>43.47</v>
      </c>
      <c r="E8065" s="8">
        <v>228</v>
      </c>
    </row>
    <row r="8066" s="3" customFormat="1" ht="18.75" spans="1:5">
      <c r="A8066" s="8" t="str">
        <f t="shared" si="140"/>
        <v>250034</v>
      </c>
      <c r="B8066" s="8" t="str">
        <f>"2561408014906"</f>
        <v>2561408014906</v>
      </c>
      <c r="C8066" s="8" t="s">
        <v>14</v>
      </c>
      <c r="D8066" s="9">
        <v>43.34</v>
      </c>
      <c r="E8066" s="8">
        <v>229</v>
      </c>
    </row>
    <row r="8067" s="3" customFormat="1" ht="18.75" spans="1:5">
      <c r="A8067" s="8" t="str">
        <f t="shared" si="140"/>
        <v>250034</v>
      </c>
      <c r="B8067" s="8" t="str">
        <f>"2561408014825"</f>
        <v>2561408014825</v>
      </c>
      <c r="C8067" s="8" t="s">
        <v>14</v>
      </c>
      <c r="D8067" s="9">
        <v>43.26</v>
      </c>
      <c r="E8067" s="8">
        <v>230</v>
      </c>
    </row>
    <row r="8068" s="3" customFormat="1" ht="18.75" spans="1:5">
      <c r="A8068" s="8" t="str">
        <f t="shared" si="140"/>
        <v>250034</v>
      </c>
      <c r="B8068" s="8" t="str">
        <f>"2561408014502"</f>
        <v>2561408014502</v>
      </c>
      <c r="C8068" s="8" t="s">
        <v>14</v>
      </c>
      <c r="D8068" s="9">
        <v>43.18</v>
      </c>
      <c r="E8068" s="8">
        <v>231</v>
      </c>
    </row>
    <row r="8069" s="3" customFormat="1" ht="18.75" spans="1:5">
      <c r="A8069" s="8" t="str">
        <f t="shared" si="140"/>
        <v>250034</v>
      </c>
      <c r="B8069" s="8" t="str">
        <f>"2561408014327"</f>
        <v>2561408014327</v>
      </c>
      <c r="C8069" s="8" t="s">
        <v>14</v>
      </c>
      <c r="D8069" s="9">
        <v>42.95</v>
      </c>
      <c r="E8069" s="8">
        <v>232</v>
      </c>
    </row>
    <row r="8070" s="3" customFormat="1" ht="18.75" spans="1:5">
      <c r="A8070" s="8" t="str">
        <f t="shared" si="140"/>
        <v>250034</v>
      </c>
      <c r="B8070" s="8" t="str">
        <f>"2561408014513"</f>
        <v>2561408014513</v>
      </c>
      <c r="C8070" s="8" t="s">
        <v>14</v>
      </c>
      <c r="D8070" s="9">
        <v>42.36</v>
      </c>
      <c r="E8070" s="8">
        <v>233</v>
      </c>
    </row>
    <row r="8071" s="3" customFormat="1" ht="18.75" spans="1:5">
      <c r="A8071" s="8" t="str">
        <f t="shared" si="140"/>
        <v>250034</v>
      </c>
      <c r="B8071" s="8" t="str">
        <f>"2561408014810"</f>
        <v>2561408014810</v>
      </c>
      <c r="C8071" s="8" t="s">
        <v>14</v>
      </c>
      <c r="D8071" s="9">
        <v>41.84</v>
      </c>
      <c r="E8071" s="8">
        <v>234</v>
      </c>
    </row>
    <row r="8072" s="3" customFormat="1" ht="18.75" spans="1:5">
      <c r="A8072" s="8" t="str">
        <f t="shared" si="140"/>
        <v>250034</v>
      </c>
      <c r="B8072" s="8" t="str">
        <f>"2561408014729"</f>
        <v>2561408014729</v>
      </c>
      <c r="C8072" s="8" t="s">
        <v>14</v>
      </c>
      <c r="D8072" s="9">
        <v>40.57</v>
      </c>
      <c r="E8072" s="8">
        <v>235</v>
      </c>
    </row>
    <row r="8073" s="3" customFormat="1" ht="18.75" spans="1:5">
      <c r="A8073" s="8" t="str">
        <f t="shared" si="140"/>
        <v>250034</v>
      </c>
      <c r="B8073" s="8" t="str">
        <f>"2561408013930"</f>
        <v>2561408013930</v>
      </c>
      <c r="C8073" s="8" t="s">
        <v>14</v>
      </c>
      <c r="D8073" s="9">
        <v>40.21</v>
      </c>
      <c r="E8073" s="8">
        <v>236</v>
      </c>
    </row>
    <row r="8074" s="3" customFormat="1" ht="18.75" spans="1:5">
      <c r="A8074" s="8" t="str">
        <f t="shared" si="140"/>
        <v>250034</v>
      </c>
      <c r="B8074" s="8" t="str">
        <f>"2561408014330"</f>
        <v>2561408014330</v>
      </c>
      <c r="C8074" s="8" t="s">
        <v>14</v>
      </c>
      <c r="D8074" s="9">
        <v>39.64</v>
      </c>
      <c r="E8074" s="8">
        <v>237</v>
      </c>
    </row>
    <row r="8075" s="3" customFormat="1" ht="18.75" spans="1:5">
      <c r="A8075" s="8" t="str">
        <f t="shared" si="140"/>
        <v>250034</v>
      </c>
      <c r="B8075" s="8" t="str">
        <f>"2561408014402"</f>
        <v>2561408014402</v>
      </c>
      <c r="C8075" s="8" t="s">
        <v>14</v>
      </c>
      <c r="D8075" s="9">
        <v>39.61</v>
      </c>
      <c r="E8075" s="8">
        <v>238</v>
      </c>
    </row>
    <row r="8076" s="3" customFormat="1" ht="18.75" spans="1:5">
      <c r="A8076" s="8" t="str">
        <f t="shared" si="140"/>
        <v>250034</v>
      </c>
      <c r="B8076" s="8" t="str">
        <f>"2561408013907"</f>
        <v>2561408013907</v>
      </c>
      <c r="C8076" s="8" t="s">
        <v>14</v>
      </c>
      <c r="D8076" s="9">
        <v>38.93</v>
      </c>
      <c r="E8076" s="8">
        <v>239</v>
      </c>
    </row>
    <row r="8077" s="3" customFormat="1" ht="18.75" spans="1:5">
      <c r="A8077" s="8" t="str">
        <f t="shared" si="140"/>
        <v>250034</v>
      </c>
      <c r="B8077" s="8" t="str">
        <f>"2561408015022"</f>
        <v>2561408015022</v>
      </c>
      <c r="C8077" s="8" t="s">
        <v>14</v>
      </c>
      <c r="D8077" s="9">
        <v>38.67</v>
      </c>
      <c r="E8077" s="8">
        <v>240</v>
      </c>
    </row>
    <row r="8078" s="3" customFormat="1" ht="18.75" spans="1:5">
      <c r="A8078" s="8" t="str">
        <f t="shared" si="140"/>
        <v>250034</v>
      </c>
      <c r="B8078" s="8" t="str">
        <f>"2561408014106"</f>
        <v>2561408014106</v>
      </c>
      <c r="C8078" s="8" t="s">
        <v>14</v>
      </c>
      <c r="D8078" s="9">
        <v>37.34</v>
      </c>
      <c r="E8078" s="8">
        <v>241</v>
      </c>
    </row>
    <row r="8079" s="3" customFormat="1" ht="18.75" spans="1:5">
      <c r="A8079" s="8" t="str">
        <f t="shared" si="140"/>
        <v>250034</v>
      </c>
      <c r="B8079" s="8" t="str">
        <f>"2561408014522"</f>
        <v>2561408014522</v>
      </c>
      <c r="C8079" s="8" t="s">
        <v>14</v>
      </c>
      <c r="D8079" s="9">
        <v>36.55</v>
      </c>
      <c r="E8079" s="8">
        <v>242</v>
      </c>
    </row>
    <row r="8080" s="3" customFormat="1" ht="18.75" spans="1:5">
      <c r="A8080" s="8" t="str">
        <f t="shared" si="140"/>
        <v>250034</v>
      </c>
      <c r="B8080" s="8" t="str">
        <f>"2561408014725"</f>
        <v>2561408014725</v>
      </c>
      <c r="C8080" s="8" t="s">
        <v>14</v>
      </c>
      <c r="D8080" s="9">
        <v>35.44</v>
      </c>
      <c r="E8080" s="8">
        <v>243</v>
      </c>
    </row>
    <row r="8081" s="3" customFormat="1" ht="18.75" spans="1:5">
      <c r="A8081" s="8" t="str">
        <f t="shared" si="140"/>
        <v>250034</v>
      </c>
      <c r="B8081" s="8" t="str">
        <f>"2561408014118"</f>
        <v>2561408014118</v>
      </c>
      <c r="C8081" s="8" t="s">
        <v>14</v>
      </c>
      <c r="D8081" s="9">
        <v>35.25</v>
      </c>
      <c r="E8081" s="8">
        <v>244</v>
      </c>
    </row>
    <row r="8082" s="3" customFormat="1" ht="18.75" spans="1:5">
      <c r="A8082" s="8" t="str">
        <f t="shared" si="140"/>
        <v>250034</v>
      </c>
      <c r="B8082" s="8" t="str">
        <f>"2561408014305"</f>
        <v>2561408014305</v>
      </c>
      <c r="C8082" s="8" t="s">
        <v>14</v>
      </c>
      <c r="D8082" s="9">
        <v>34.18</v>
      </c>
      <c r="E8082" s="8">
        <v>245</v>
      </c>
    </row>
    <row r="8083" s="3" customFormat="1" ht="18.75" spans="1:5">
      <c r="A8083" s="8" t="str">
        <f t="shared" si="140"/>
        <v>250034</v>
      </c>
      <c r="B8083" s="8" t="str">
        <f>"2561408015117"</f>
        <v>2561408015117</v>
      </c>
      <c r="C8083" s="8" t="s">
        <v>14</v>
      </c>
      <c r="D8083" s="9">
        <v>32.19</v>
      </c>
      <c r="E8083" s="8">
        <v>246</v>
      </c>
    </row>
    <row r="8084" s="3" customFormat="1" ht="18.75" spans="1:5">
      <c r="A8084" s="8" t="str">
        <f t="shared" si="140"/>
        <v>250034</v>
      </c>
      <c r="B8084" s="8" t="str">
        <f>"2561408014407"</f>
        <v>2561408014407</v>
      </c>
      <c r="C8084" s="8" t="s">
        <v>14</v>
      </c>
      <c r="D8084" s="9">
        <v>31.53</v>
      </c>
      <c r="E8084" s="8">
        <v>247</v>
      </c>
    </row>
    <row r="8085" s="3" customFormat="1" ht="18.75" spans="1:5">
      <c r="A8085" s="8" t="str">
        <f t="shared" si="140"/>
        <v>250034</v>
      </c>
      <c r="B8085" s="8" t="str">
        <f>"2561408014507"</f>
        <v>2561408014507</v>
      </c>
      <c r="C8085" s="8" t="s">
        <v>14</v>
      </c>
      <c r="D8085" s="9">
        <v>28.72</v>
      </c>
      <c r="E8085" s="8">
        <v>248</v>
      </c>
    </row>
    <row r="8086" s="3" customFormat="1" ht="18.75" spans="1:5">
      <c r="A8086" s="8" t="str">
        <f t="shared" si="140"/>
        <v>250034</v>
      </c>
      <c r="B8086" s="8" t="str">
        <f>"2561408014905"</f>
        <v>2561408014905</v>
      </c>
      <c r="C8086" s="8" t="s">
        <v>14</v>
      </c>
      <c r="D8086" s="9">
        <v>27.51</v>
      </c>
      <c r="E8086" s="8">
        <v>249</v>
      </c>
    </row>
    <row r="8087" s="3" customFormat="1" ht="18.75" spans="1:5">
      <c r="A8087" s="8" t="str">
        <f t="shared" si="140"/>
        <v>250034</v>
      </c>
      <c r="B8087" s="8" t="str">
        <f>"2561408014612"</f>
        <v>2561408014612</v>
      </c>
      <c r="C8087" s="8" t="s">
        <v>14</v>
      </c>
      <c r="D8087" s="9">
        <v>23.14</v>
      </c>
      <c r="E8087" s="8">
        <v>250</v>
      </c>
    </row>
    <row r="8088" s="3" customFormat="1" ht="18.75" spans="1:5">
      <c r="A8088" s="8" t="str">
        <f t="shared" si="140"/>
        <v>250034</v>
      </c>
      <c r="B8088" s="8" t="str">
        <f>"2561408013908"</f>
        <v>2561408013908</v>
      </c>
      <c r="C8088" s="8" t="s">
        <v>14</v>
      </c>
      <c r="D8088" s="9">
        <v>0</v>
      </c>
      <c r="E8088" s="8">
        <v>251</v>
      </c>
    </row>
    <row r="8089" s="3" customFormat="1" ht="18.75" spans="1:5">
      <c r="A8089" s="8" t="str">
        <f t="shared" si="140"/>
        <v>250034</v>
      </c>
      <c r="B8089" s="8" t="str">
        <f>"2561408013911"</f>
        <v>2561408013911</v>
      </c>
      <c r="C8089" s="8" t="s">
        <v>14</v>
      </c>
      <c r="D8089" s="9">
        <v>0</v>
      </c>
      <c r="E8089" s="8">
        <v>251</v>
      </c>
    </row>
    <row r="8090" s="3" customFormat="1" ht="18.75" spans="1:5">
      <c r="A8090" s="8" t="str">
        <f t="shared" si="140"/>
        <v>250034</v>
      </c>
      <c r="B8090" s="8" t="str">
        <f>"2561408013912"</f>
        <v>2561408013912</v>
      </c>
      <c r="C8090" s="8" t="s">
        <v>14</v>
      </c>
      <c r="D8090" s="9">
        <v>0</v>
      </c>
      <c r="E8090" s="8">
        <v>251</v>
      </c>
    </row>
    <row r="8091" s="3" customFormat="1" ht="18.75" spans="1:5">
      <c r="A8091" s="8" t="str">
        <f t="shared" si="140"/>
        <v>250034</v>
      </c>
      <c r="B8091" s="8" t="str">
        <f>"2561408013913"</f>
        <v>2561408013913</v>
      </c>
      <c r="C8091" s="8" t="s">
        <v>14</v>
      </c>
      <c r="D8091" s="9">
        <v>0</v>
      </c>
      <c r="E8091" s="8">
        <v>251</v>
      </c>
    </row>
    <row r="8092" s="3" customFormat="1" ht="18.75" spans="1:5">
      <c r="A8092" s="8" t="str">
        <f t="shared" si="140"/>
        <v>250034</v>
      </c>
      <c r="B8092" s="8" t="str">
        <f>"2561408013916"</f>
        <v>2561408013916</v>
      </c>
      <c r="C8092" s="8" t="s">
        <v>14</v>
      </c>
      <c r="D8092" s="9">
        <v>0</v>
      </c>
      <c r="E8092" s="8">
        <v>251</v>
      </c>
    </row>
    <row r="8093" s="3" customFormat="1" ht="18.75" spans="1:5">
      <c r="A8093" s="8" t="str">
        <f t="shared" si="140"/>
        <v>250034</v>
      </c>
      <c r="B8093" s="8" t="str">
        <f>"2561408013917"</f>
        <v>2561408013917</v>
      </c>
      <c r="C8093" s="8" t="s">
        <v>14</v>
      </c>
      <c r="D8093" s="9">
        <v>0</v>
      </c>
      <c r="E8093" s="8">
        <v>251</v>
      </c>
    </row>
    <row r="8094" s="3" customFormat="1" ht="18.75" spans="1:5">
      <c r="A8094" s="8" t="str">
        <f t="shared" ref="A8094:A8157" si="141">"250034"</f>
        <v>250034</v>
      </c>
      <c r="B8094" s="8" t="str">
        <f>"2561408013919"</f>
        <v>2561408013919</v>
      </c>
      <c r="C8094" s="8" t="s">
        <v>14</v>
      </c>
      <c r="D8094" s="9">
        <v>0</v>
      </c>
      <c r="E8094" s="8">
        <v>251</v>
      </c>
    </row>
    <row r="8095" s="3" customFormat="1" ht="18.75" spans="1:5">
      <c r="A8095" s="8" t="str">
        <f t="shared" si="141"/>
        <v>250034</v>
      </c>
      <c r="B8095" s="8" t="str">
        <f>"2561408013924"</f>
        <v>2561408013924</v>
      </c>
      <c r="C8095" s="8" t="s">
        <v>14</v>
      </c>
      <c r="D8095" s="9">
        <v>0</v>
      </c>
      <c r="E8095" s="8">
        <v>251</v>
      </c>
    </row>
    <row r="8096" s="3" customFormat="1" ht="18.75" spans="1:5">
      <c r="A8096" s="8" t="str">
        <f t="shared" si="141"/>
        <v>250034</v>
      </c>
      <c r="B8096" s="8" t="str">
        <f>"2561408013925"</f>
        <v>2561408013925</v>
      </c>
      <c r="C8096" s="8" t="s">
        <v>14</v>
      </c>
      <c r="D8096" s="9">
        <v>0</v>
      </c>
      <c r="E8096" s="8">
        <v>251</v>
      </c>
    </row>
    <row r="8097" s="3" customFormat="1" ht="18.75" spans="1:5">
      <c r="A8097" s="8" t="str">
        <f t="shared" si="141"/>
        <v>250034</v>
      </c>
      <c r="B8097" s="8" t="str">
        <f>"2561408013926"</f>
        <v>2561408013926</v>
      </c>
      <c r="C8097" s="8" t="s">
        <v>14</v>
      </c>
      <c r="D8097" s="9">
        <v>0</v>
      </c>
      <c r="E8097" s="8">
        <v>251</v>
      </c>
    </row>
    <row r="8098" s="3" customFormat="1" ht="18.75" spans="1:5">
      <c r="A8098" s="8" t="str">
        <f t="shared" si="141"/>
        <v>250034</v>
      </c>
      <c r="B8098" s="8" t="str">
        <f>"2561408014007"</f>
        <v>2561408014007</v>
      </c>
      <c r="C8098" s="8" t="s">
        <v>14</v>
      </c>
      <c r="D8098" s="9">
        <v>0</v>
      </c>
      <c r="E8098" s="8">
        <v>251</v>
      </c>
    </row>
    <row r="8099" s="3" customFormat="1" ht="18.75" spans="1:5">
      <c r="A8099" s="8" t="str">
        <f t="shared" si="141"/>
        <v>250034</v>
      </c>
      <c r="B8099" s="8" t="str">
        <f>"2561408014008"</f>
        <v>2561408014008</v>
      </c>
      <c r="C8099" s="8" t="s">
        <v>14</v>
      </c>
      <c r="D8099" s="9">
        <v>0</v>
      </c>
      <c r="E8099" s="8">
        <v>251</v>
      </c>
    </row>
    <row r="8100" s="3" customFormat="1" ht="18.75" spans="1:5">
      <c r="A8100" s="8" t="str">
        <f t="shared" si="141"/>
        <v>250034</v>
      </c>
      <c r="B8100" s="8" t="str">
        <f>"2561408014013"</f>
        <v>2561408014013</v>
      </c>
      <c r="C8100" s="8" t="s">
        <v>14</v>
      </c>
      <c r="D8100" s="9">
        <v>0</v>
      </c>
      <c r="E8100" s="8">
        <v>251</v>
      </c>
    </row>
    <row r="8101" s="3" customFormat="1" ht="18.75" spans="1:5">
      <c r="A8101" s="8" t="str">
        <f t="shared" si="141"/>
        <v>250034</v>
      </c>
      <c r="B8101" s="8" t="str">
        <f>"2561408014015"</f>
        <v>2561408014015</v>
      </c>
      <c r="C8101" s="8" t="s">
        <v>14</v>
      </c>
      <c r="D8101" s="9">
        <v>0</v>
      </c>
      <c r="E8101" s="8">
        <v>251</v>
      </c>
    </row>
    <row r="8102" s="3" customFormat="1" ht="18.75" spans="1:5">
      <c r="A8102" s="8" t="str">
        <f t="shared" si="141"/>
        <v>250034</v>
      </c>
      <c r="B8102" s="8" t="str">
        <f>"2561408014017"</f>
        <v>2561408014017</v>
      </c>
      <c r="C8102" s="8" t="s">
        <v>14</v>
      </c>
      <c r="D8102" s="9">
        <v>0</v>
      </c>
      <c r="E8102" s="8">
        <v>251</v>
      </c>
    </row>
    <row r="8103" s="3" customFormat="1" ht="18.75" spans="1:5">
      <c r="A8103" s="8" t="str">
        <f t="shared" si="141"/>
        <v>250034</v>
      </c>
      <c r="B8103" s="8" t="str">
        <f>"2561408014019"</f>
        <v>2561408014019</v>
      </c>
      <c r="C8103" s="8" t="s">
        <v>14</v>
      </c>
      <c r="D8103" s="9">
        <v>0</v>
      </c>
      <c r="E8103" s="8">
        <v>251</v>
      </c>
    </row>
    <row r="8104" s="3" customFormat="1" ht="18.75" spans="1:5">
      <c r="A8104" s="8" t="str">
        <f t="shared" si="141"/>
        <v>250034</v>
      </c>
      <c r="B8104" s="8" t="str">
        <f>"2561408014021"</f>
        <v>2561408014021</v>
      </c>
      <c r="C8104" s="8" t="s">
        <v>14</v>
      </c>
      <c r="D8104" s="9">
        <v>0</v>
      </c>
      <c r="E8104" s="8">
        <v>251</v>
      </c>
    </row>
    <row r="8105" s="3" customFormat="1" ht="18.75" spans="1:5">
      <c r="A8105" s="8" t="str">
        <f t="shared" si="141"/>
        <v>250034</v>
      </c>
      <c r="B8105" s="8" t="str">
        <f>"2561408014022"</f>
        <v>2561408014022</v>
      </c>
      <c r="C8105" s="8" t="s">
        <v>14</v>
      </c>
      <c r="D8105" s="9">
        <v>0</v>
      </c>
      <c r="E8105" s="8">
        <v>251</v>
      </c>
    </row>
    <row r="8106" s="3" customFormat="1" ht="18.75" spans="1:5">
      <c r="A8106" s="8" t="str">
        <f t="shared" si="141"/>
        <v>250034</v>
      </c>
      <c r="B8106" s="8" t="str">
        <f>"2561408014023"</f>
        <v>2561408014023</v>
      </c>
      <c r="C8106" s="8" t="s">
        <v>14</v>
      </c>
      <c r="D8106" s="9">
        <v>0</v>
      </c>
      <c r="E8106" s="8">
        <v>251</v>
      </c>
    </row>
    <row r="8107" s="3" customFormat="1" ht="18.75" spans="1:5">
      <c r="A8107" s="8" t="str">
        <f t="shared" si="141"/>
        <v>250034</v>
      </c>
      <c r="B8107" s="8" t="str">
        <f>"2561408014024"</f>
        <v>2561408014024</v>
      </c>
      <c r="C8107" s="8" t="s">
        <v>14</v>
      </c>
      <c r="D8107" s="9">
        <v>0</v>
      </c>
      <c r="E8107" s="8">
        <v>251</v>
      </c>
    </row>
    <row r="8108" s="3" customFormat="1" ht="18.75" spans="1:5">
      <c r="A8108" s="8" t="str">
        <f t="shared" si="141"/>
        <v>250034</v>
      </c>
      <c r="B8108" s="8" t="str">
        <f>"2561408014025"</f>
        <v>2561408014025</v>
      </c>
      <c r="C8108" s="8" t="s">
        <v>14</v>
      </c>
      <c r="D8108" s="9">
        <v>0</v>
      </c>
      <c r="E8108" s="8">
        <v>251</v>
      </c>
    </row>
    <row r="8109" s="3" customFormat="1" ht="18.75" spans="1:5">
      <c r="A8109" s="8" t="str">
        <f t="shared" si="141"/>
        <v>250034</v>
      </c>
      <c r="B8109" s="8" t="str">
        <f>"2561408014026"</f>
        <v>2561408014026</v>
      </c>
      <c r="C8109" s="8" t="s">
        <v>14</v>
      </c>
      <c r="D8109" s="9">
        <v>0</v>
      </c>
      <c r="E8109" s="8">
        <v>251</v>
      </c>
    </row>
    <row r="8110" s="3" customFormat="1" ht="18.75" spans="1:5">
      <c r="A8110" s="8" t="str">
        <f t="shared" si="141"/>
        <v>250034</v>
      </c>
      <c r="B8110" s="8" t="str">
        <f>"2561408014030"</f>
        <v>2561408014030</v>
      </c>
      <c r="C8110" s="8" t="s">
        <v>14</v>
      </c>
      <c r="D8110" s="9">
        <v>0</v>
      </c>
      <c r="E8110" s="8">
        <v>251</v>
      </c>
    </row>
    <row r="8111" s="3" customFormat="1" ht="18.75" spans="1:5">
      <c r="A8111" s="8" t="str">
        <f t="shared" si="141"/>
        <v>250034</v>
      </c>
      <c r="B8111" s="8" t="str">
        <f>"2561408014101"</f>
        <v>2561408014101</v>
      </c>
      <c r="C8111" s="8" t="s">
        <v>14</v>
      </c>
      <c r="D8111" s="9">
        <v>0</v>
      </c>
      <c r="E8111" s="8">
        <v>251</v>
      </c>
    </row>
    <row r="8112" s="3" customFormat="1" ht="18.75" spans="1:5">
      <c r="A8112" s="8" t="str">
        <f t="shared" si="141"/>
        <v>250034</v>
      </c>
      <c r="B8112" s="8" t="str">
        <f>"2561408014102"</f>
        <v>2561408014102</v>
      </c>
      <c r="C8112" s="8" t="s">
        <v>14</v>
      </c>
      <c r="D8112" s="9">
        <v>0</v>
      </c>
      <c r="E8112" s="8">
        <v>251</v>
      </c>
    </row>
    <row r="8113" s="3" customFormat="1" ht="18.75" spans="1:5">
      <c r="A8113" s="8" t="str">
        <f t="shared" si="141"/>
        <v>250034</v>
      </c>
      <c r="B8113" s="8" t="str">
        <f>"2561408014103"</f>
        <v>2561408014103</v>
      </c>
      <c r="C8113" s="8" t="s">
        <v>14</v>
      </c>
      <c r="D8113" s="9">
        <v>0</v>
      </c>
      <c r="E8113" s="8">
        <v>251</v>
      </c>
    </row>
    <row r="8114" s="3" customFormat="1" ht="18.75" spans="1:5">
      <c r="A8114" s="8" t="str">
        <f t="shared" si="141"/>
        <v>250034</v>
      </c>
      <c r="B8114" s="8" t="str">
        <f>"2561408014108"</f>
        <v>2561408014108</v>
      </c>
      <c r="C8114" s="8" t="s">
        <v>14</v>
      </c>
      <c r="D8114" s="9">
        <v>0</v>
      </c>
      <c r="E8114" s="8">
        <v>251</v>
      </c>
    </row>
    <row r="8115" s="3" customFormat="1" ht="18.75" spans="1:5">
      <c r="A8115" s="8" t="str">
        <f t="shared" si="141"/>
        <v>250034</v>
      </c>
      <c r="B8115" s="8" t="str">
        <f>"2561408014109"</f>
        <v>2561408014109</v>
      </c>
      <c r="C8115" s="8" t="s">
        <v>14</v>
      </c>
      <c r="D8115" s="9">
        <v>0</v>
      </c>
      <c r="E8115" s="8">
        <v>251</v>
      </c>
    </row>
    <row r="8116" s="3" customFormat="1" ht="18.75" spans="1:5">
      <c r="A8116" s="8" t="str">
        <f t="shared" si="141"/>
        <v>250034</v>
      </c>
      <c r="B8116" s="8" t="str">
        <f>"2561408014110"</f>
        <v>2561408014110</v>
      </c>
      <c r="C8116" s="8" t="s">
        <v>14</v>
      </c>
      <c r="D8116" s="9">
        <v>0</v>
      </c>
      <c r="E8116" s="8">
        <v>251</v>
      </c>
    </row>
    <row r="8117" s="3" customFormat="1" ht="18.75" spans="1:5">
      <c r="A8117" s="8" t="str">
        <f t="shared" si="141"/>
        <v>250034</v>
      </c>
      <c r="B8117" s="8" t="str">
        <f>"2561408014117"</f>
        <v>2561408014117</v>
      </c>
      <c r="C8117" s="8" t="s">
        <v>14</v>
      </c>
      <c r="D8117" s="9">
        <v>0</v>
      </c>
      <c r="E8117" s="8">
        <v>251</v>
      </c>
    </row>
    <row r="8118" s="3" customFormat="1" ht="18.75" spans="1:5">
      <c r="A8118" s="8" t="str">
        <f t="shared" si="141"/>
        <v>250034</v>
      </c>
      <c r="B8118" s="8" t="str">
        <f>"2561408014120"</f>
        <v>2561408014120</v>
      </c>
      <c r="C8118" s="8" t="s">
        <v>14</v>
      </c>
      <c r="D8118" s="9">
        <v>0</v>
      </c>
      <c r="E8118" s="8">
        <v>251</v>
      </c>
    </row>
    <row r="8119" s="3" customFormat="1" ht="18.75" spans="1:5">
      <c r="A8119" s="8" t="str">
        <f t="shared" si="141"/>
        <v>250034</v>
      </c>
      <c r="B8119" s="8" t="str">
        <f>"2561408014125"</f>
        <v>2561408014125</v>
      </c>
      <c r="C8119" s="8" t="s">
        <v>14</v>
      </c>
      <c r="D8119" s="9">
        <v>0</v>
      </c>
      <c r="E8119" s="8">
        <v>251</v>
      </c>
    </row>
    <row r="8120" s="3" customFormat="1" ht="18.75" spans="1:5">
      <c r="A8120" s="8" t="str">
        <f t="shared" si="141"/>
        <v>250034</v>
      </c>
      <c r="B8120" s="8" t="str">
        <f>"2561408014127"</f>
        <v>2561408014127</v>
      </c>
      <c r="C8120" s="8" t="s">
        <v>14</v>
      </c>
      <c r="D8120" s="9">
        <v>0</v>
      </c>
      <c r="E8120" s="8">
        <v>251</v>
      </c>
    </row>
    <row r="8121" s="3" customFormat="1" ht="18.75" spans="1:5">
      <c r="A8121" s="8" t="str">
        <f t="shared" si="141"/>
        <v>250034</v>
      </c>
      <c r="B8121" s="8" t="str">
        <f>"2561408014130"</f>
        <v>2561408014130</v>
      </c>
      <c r="C8121" s="8" t="s">
        <v>14</v>
      </c>
      <c r="D8121" s="9">
        <v>0</v>
      </c>
      <c r="E8121" s="8">
        <v>251</v>
      </c>
    </row>
    <row r="8122" s="3" customFormat="1" ht="18.75" spans="1:5">
      <c r="A8122" s="8" t="str">
        <f t="shared" si="141"/>
        <v>250034</v>
      </c>
      <c r="B8122" s="8" t="str">
        <f>"2561408014201"</f>
        <v>2561408014201</v>
      </c>
      <c r="C8122" s="8" t="s">
        <v>14</v>
      </c>
      <c r="D8122" s="9">
        <v>0</v>
      </c>
      <c r="E8122" s="8">
        <v>251</v>
      </c>
    </row>
    <row r="8123" s="3" customFormat="1" ht="18.75" spans="1:5">
      <c r="A8123" s="8" t="str">
        <f t="shared" si="141"/>
        <v>250034</v>
      </c>
      <c r="B8123" s="8" t="str">
        <f>"2561408014202"</f>
        <v>2561408014202</v>
      </c>
      <c r="C8123" s="8" t="s">
        <v>14</v>
      </c>
      <c r="D8123" s="9">
        <v>0</v>
      </c>
      <c r="E8123" s="8">
        <v>251</v>
      </c>
    </row>
    <row r="8124" s="3" customFormat="1" ht="18.75" spans="1:5">
      <c r="A8124" s="8" t="str">
        <f t="shared" si="141"/>
        <v>250034</v>
      </c>
      <c r="B8124" s="8" t="str">
        <f>"2561408014203"</f>
        <v>2561408014203</v>
      </c>
      <c r="C8124" s="8" t="s">
        <v>14</v>
      </c>
      <c r="D8124" s="9">
        <v>0</v>
      </c>
      <c r="E8124" s="8">
        <v>251</v>
      </c>
    </row>
    <row r="8125" s="3" customFormat="1" ht="18.75" spans="1:5">
      <c r="A8125" s="8" t="str">
        <f t="shared" si="141"/>
        <v>250034</v>
      </c>
      <c r="B8125" s="8" t="str">
        <f>"2561408014208"</f>
        <v>2561408014208</v>
      </c>
      <c r="C8125" s="8" t="s">
        <v>14</v>
      </c>
      <c r="D8125" s="9">
        <v>0</v>
      </c>
      <c r="E8125" s="8">
        <v>251</v>
      </c>
    </row>
    <row r="8126" s="3" customFormat="1" ht="18.75" spans="1:5">
      <c r="A8126" s="8" t="str">
        <f t="shared" si="141"/>
        <v>250034</v>
      </c>
      <c r="B8126" s="8" t="str">
        <f>"2561408014211"</f>
        <v>2561408014211</v>
      </c>
      <c r="C8126" s="8" t="s">
        <v>14</v>
      </c>
      <c r="D8126" s="9">
        <v>0</v>
      </c>
      <c r="E8126" s="8">
        <v>251</v>
      </c>
    </row>
    <row r="8127" s="3" customFormat="1" ht="18.75" spans="1:5">
      <c r="A8127" s="8" t="str">
        <f t="shared" si="141"/>
        <v>250034</v>
      </c>
      <c r="B8127" s="8" t="str">
        <f>"2561408014214"</f>
        <v>2561408014214</v>
      </c>
      <c r="C8127" s="8" t="s">
        <v>14</v>
      </c>
      <c r="D8127" s="9">
        <v>0</v>
      </c>
      <c r="E8127" s="8">
        <v>251</v>
      </c>
    </row>
    <row r="8128" s="3" customFormat="1" ht="18.75" spans="1:5">
      <c r="A8128" s="8" t="str">
        <f t="shared" si="141"/>
        <v>250034</v>
      </c>
      <c r="B8128" s="8" t="str">
        <f>"2561408014220"</f>
        <v>2561408014220</v>
      </c>
      <c r="C8128" s="8" t="s">
        <v>14</v>
      </c>
      <c r="D8128" s="9">
        <v>0</v>
      </c>
      <c r="E8128" s="8">
        <v>251</v>
      </c>
    </row>
    <row r="8129" s="3" customFormat="1" ht="18.75" spans="1:5">
      <c r="A8129" s="8" t="str">
        <f t="shared" si="141"/>
        <v>250034</v>
      </c>
      <c r="B8129" s="8" t="str">
        <f>"2561408014224"</f>
        <v>2561408014224</v>
      </c>
      <c r="C8129" s="8" t="s">
        <v>14</v>
      </c>
      <c r="D8129" s="9">
        <v>0</v>
      </c>
      <c r="E8129" s="8">
        <v>251</v>
      </c>
    </row>
    <row r="8130" s="3" customFormat="1" ht="18.75" spans="1:5">
      <c r="A8130" s="8" t="str">
        <f t="shared" si="141"/>
        <v>250034</v>
      </c>
      <c r="B8130" s="8" t="str">
        <f>"2561408014228"</f>
        <v>2561408014228</v>
      </c>
      <c r="C8130" s="8" t="s">
        <v>14</v>
      </c>
      <c r="D8130" s="9">
        <v>0</v>
      </c>
      <c r="E8130" s="8">
        <v>251</v>
      </c>
    </row>
    <row r="8131" s="3" customFormat="1" ht="18.75" spans="1:5">
      <c r="A8131" s="8" t="str">
        <f t="shared" si="141"/>
        <v>250034</v>
      </c>
      <c r="B8131" s="8" t="str">
        <f>"2561408014230"</f>
        <v>2561408014230</v>
      </c>
      <c r="C8131" s="8" t="s">
        <v>14</v>
      </c>
      <c r="D8131" s="9">
        <v>0</v>
      </c>
      <c r="E8131" s="8">
        <v>251</v>
      </c>
    </row>
    <row r="8132" s="3" customFormat="1" ht="18.75" spans="1:5">
      <c r="A8132" s="8" t="str">
        <f t="shared" si="141"/>
        <v>250034</v>
      </c>
      <c r="B8132" s="8" t="str">
        <f>"2561408014301"</f>
        <v>2561408014301</v>
      </c>
      <c r="C8132" s="8" t="s">
        <v>14</v>
      </c>
      <c r="D8132" s="9">
        <v>0</v>
      </c>
      <c r="E8132" s="8">
        <v>251</v>
      </c>
    </row>
    <row r="8133" s="3" customFormat="1" ht="18.75" spans="1:5">
      <c r="A8133" s="8" t="str">
        <f t="shared" si="141"/>
        <v>250034</v>
      </c>
      <c r="B8133" s="8" t="str">
        <f>"2561408014304"</f>
        <v>2561408014304</v>
      </c>
      <c r="C8133" s="8" t="s">
        <v>14</v>
      </c>
      <c r="D8133" s="9">
        <v>0</v>
      </c>
      <c r="E8133" s="8">
        <v>251</v>
      </c>
    </row>
    <row r="8134" s="3" customFormat="1" ht="18.75" spans="1:5">
      <c r="A8134" s="8" t="str">
        <f t="shared" si="141"/>
        <v>250034</v>
      </c>
      <c r="B8134" s="8" t="str">
        <f>"2561408014307"</f>
        <v>2561408014307</v>
      </c>
      <c r="C8134" s="8" t="s">
        <v>14</v>
      </c>
      <c r="D8134" s="9">
        <v>0</v>
      </c>
      <c r="E8134" s="8">
        <v>251</v>
      </c>
    </row>
    <row r="8135" s="3" customFormat="1" ht="18.75" spans="1:5">
      <c r="A8135" s="8" t="str">
        <f t="shared" si="141"/>
        <v>250034</v>
      </c>
      <c r="B8135" s="8" t="str">
        <f>"2561408014308"</f>
        <v>2561408014308</v>
      </c>
      <c r="C8135" s="8" t="s">
        <v>14</v>
      </c>
      <c r="D8135" s="9">
        <v>0</v>
      </c>
      <c r="E8135" s="8">
        <v>251</v>
      </c>
    </row>
    <row r="8136" s="3" customFormat="1" ht="18.75" spans="1:5">
      <c r="A8136" s="8" t="str">
        <f t="shared" si="141"/>
        <v>250034</v>
      </c>
      <c r="B8136" s="8" t="str">
        <f>"2561408014309"</f>
        <v>2561408014309</v>
      </c>
      <c r="C8136" s="8" t="s">
        <v>14</v>
      </c>
      <c r="D8136" s="9">
        <v>0</v>
      </c>
      <c r="E8136" s="8">
        <v>251</v>
      </c>
    </row>
    <row r="8137" s="3" customFormat="1" ht="18.75" spans="1:5">
      <c r="A8137" s="8" t="str">
        <f t="shared" si="141"/>
        <v>250034</v>
      </c>
      <c r="B8137" s="8" t="str">
        <f>"2561408014310"</f>
        <v>2561408014310</v>
      </c>
      <c r="C8137" s="8" t="s">
        <v>14</v>
      </c>
      <c r="D8137" s="9">
        <v>0</v>
      </c>
      <c r="E8137" s="8">
        <v>251</v>
      </c>
    </row>
    <row r="8138" s="3" customFormat="1" ht="18.75" spans="1:5">
      <c r="A8138" s="8" t="str">
        <f t="shared" si="141"/>
        <v>250034</v>
      </c>
      <c r="B8138" s="8" t="str">
        <f>"2561408014312"</f>
        <v>2561408014312</v>
      </c>
      <c r="C8138" s="8" t="s">
        <v>14</v>
      </c>
      <c r="D8138" s="9">
        <v>0</v>
      </c>
      <c r="E8138" s="8">
        <v>251</v>
      </c>
    </row>
    <row r="8139" s="3" customFormat="1" ht="18.75" spans="1:5">
      <c r="A8139" s="8" t="str">
        <f t="shared" si="141"/>
        <v>250034</v>
      </c>
      <c r="B8139" s="8" t="str">
        <f>"2561408014315"</f>
        <v>2561408014315</v>
      </c>
      <c r="C8139" s="8" t="s">
        <v>14</v>
      </c>
      <c r="D8139" s="9">
        <v>0</v>
      </c>
      <c r="E8139" s="8">
        <v>251</v>
      </c>
    </row>
    <row r="8140" s="3" customFormat="1" ht="18.75" spans="1:5">
      <c r="A8140" s="8" t="str">
        <f t="shared" si="141"/>
        <v>250034</v>
      </c>
      <c r="B8140" s="8" t="str">
        <f>"2561408014316"</f>
        <v>2561408014316</v>
      </c>
      <c r="C8140" s="8" t="s">
        <v>14</v>
      </c>
      <c r="D8140" s="9">
        <v>0</v>
      </c>
      <c r="E8140" s="8">
        <v>251</v>
      </c>
    </row>
    <row r="8141" s="3" customFormat="1" ht="18.75" spans="1:5">
      <c r="A8141" s="8" t="str">
        <f t="shared" si="141"/>
        <v>250034</v>
      </c>
      <c r="B8141" s="8" t="str">
        <f>"2561408014317"</f>
        <v>2561408014317</v>
      </c>
      <c r="C8141" s="8" t="s">
        <v>14</v>
      </c>
      <c r="D8141" s="9">
        <v>0</v>
      </c>
      <c r="E8141" s="8">
        <v>251</v>
      </c>
    </row>
    <row r="8142" s="3" customFormat="1" ht="18.75" spans="1:5">
      <c r="A8142" s="8" t="str">
        <f t="shared" si="141"/>
        <v>250034</v>
      </c>
      <c r="B8142" s="8" t="str">
        <f>"2561408014318"</f>
        <v>2561408014318</v>
      </c>
      <c r="C8142" s="8" t="s">
        <v>14</v>
      </c>
      <c r="D8142" s="9">
        <v>0</v>
      </c>
      <c r="E8142" s="8">
        <v>251</v>
      </c>
    </row>
    <row r="8143" s="3" customFormat="1" ht="18.75" spans="1:5">
      <c r="A8143" s="8" t="str">
        <f t="shared" si="141"/>
        <v>250034</v>
      </c>
      <c r="B8143" s="8" t="str">
        <f>"2561408014319"</f>
        <v>2561408014319</v>
      </c>
      <c r="C8143" s="8" t="s">
        <v>14</v>
      </c>
      <c r="D8143" s="9">
        <v>0</v>
      </c>
      <c r="E8143" s="8">
        <v>251</v>
      </c>
    </row>
    <row r="8144" s="3" customFormat="1" ht="18.75" spans="1:5">
      <c r="A8144" s="8" t="str">
        <f t="shared" si="141"/>
        <v>250034</v>
      </c>
      <c r="B8144" s="8" t="str">
        <f>"2561408014325"</f>
        <v>2561408014325</v>
      </c>
      <c r="C8144" s="8" t="s">
        <v>14</v>
      </c>
      <c r="D8144" s="9">
        <v>0</v>
      </c>
      <c r="E8144" s="8">
        <v>251</v>
      </c>
    </row>
    <row r="8145" s="3" customFormat="1" ht="18.75" spans="1:5">
      <c r="A8145" s="8" t="str">
        <f t="shared" si="141"/>
        <v>250034</v>
      </c>
      <c r="B8145" s="8" t="str">
        <f>"2561408014328"</f>
        <v>2561408014328</v>
      </c>
      <c r="C8145" s="8" t="s">
        <v>14</v>
      </c>
      <c r="D8145" s="9">
        <v>0</v>
      </c>
      <c r="E8145" s="8">
        <v>251</v>
      </c>
    </row>
    <row r="8146" s="3" customFormat="1" ht="18.75" spans="1:5">
      <c r="A8146" s="8" t="str">
        <f t="shared" si="141"/>
        <v>250034</v>
      </c>
      <c r="B8146" s="8" t="str">
        <f>"2561408014404"</f>
        <v>2561408014404</v>
      </c>
      <c r="C8146" s="8" t="s">
        <v>14</v>
      </c>
      <c r="D8146" s="9">
        <v>0</v>
      </c>
      <c r="E8146" s="8">
        <v>251</v>
      </c>
    </row>
    <row r="8147" s="3" customFormat="1" ht="18.75" spans="1:5">
      <c r="A8147" s="8" t="str">
        <f t="shared" si="141"/>
        <v>250034</v>
      </c>
      <c r="B8147" s="8" t="str">
        <f>"2561408014406"</f>
        <v>2561408014406</v>
      </c>
      <c r="C8147" s="8" t="s">
        <v>14</v>
      </c>
      <c r="D8147" s="9">
        <v>0</v>
      </c>
      <c r="E8147" s="8">
        <v>251</v>
      </c>
    </row>
    <row r="8148" s="3" customFormat="1" ht="18.75" spans="1:5">
      <c r="A8148" s="8" t="str">
        <f t="shared" si="141"/>
        <v>250034</v>
      </c>
      <c r="B8148" s="8" t="str">
        <f>"2561408014410"</f>
        <v>2561408014410</v>
      </c>
      <c r="C8148" s="8" t="s">
        <v>14</v>
      </c>
      <c r="D8148" s="9">
        <v>0</v>
      </c>
      <c r="E8148" s="8">
        <v>251</v>
      </c>
    </row>
    <row r="8149" s="3" customFormat="1" ht="18.75" spans="1:5">
      <c r="A8149" s="8" t="str">
        <f t="shared" si="141"/>
        <v>250034</v>
      </c>
      <c r="B8149" s="8" t="str">
        <f>"2561408014417"</f>
        <v>2561408014417</v>
      </c>
      <c r="C8149" s="8" t="s">
        <v>14</v>
      </c>
      <c r="D8149" s="9">
        <v>0</v>
      </c>
      <c r="E8149" s="8">
        <v>251</v>
      </c>
    </row>
    <row r="8150" s="3" customFormat="1" ht="18.75" spans="1:5">
      <c r="A8150" s="8" t="str">
        <f t="shared" si="141"/>
        <v>250034</v>
      </c>
      <c r="B8150" s="8" t="str">
        <f>"2561408014420"</f>
        <v>2561408014420</v>
      </c>
      <c r="C8150" s="8" t="s">
        <v>14</v>
      </c>
      <c r="D8150" s="9">
        <v>0</v>
      </c>
      <c r="E8150" s="8">
        <v>251</v>
      </c>
    </row>
    <row r="8151" s="3" customFormat="1" ht="18.75" spans="1:5">
      <c r="A8151" s="8" t="str">
        <f t="shared" si="141"/>
        <v>250034</v>
      </c>
      <c r="B8151" s="8" t="str">
        <f>"2561408014426"</f>
        <v>2561408014426</v>
      </c>
      <c r="C8151" s="8" t="s">
        <v>14</v>
      </c>
      <c r="D8151" s="9">
        <v>0</v>
      </c>
      <c r="E8151" s="8">
        <v>251</v>
      </c>
    </row>
    <row r="8152" s="3" customFormat="1" ht="18.75" spans="1:5">
      <c r="A8152" s="8" t="str">
        <f t="shared" si="141"/>
        <v>250034</v>
      </c>
      <c r="B8152" s="8" t="str">
        <f>"2561408014427"</f>
        <v>2561408014427</v>
      </c>
      <c r="C8152" s="8" t="s">
        <v>14</v>
      </c>
      <c r="D8152" s="9">
        <v>0</v>
      </c>
      <c r="E8152" s="8">
        <v>251</v>
      </c>
    </row>
    <row r="8153" s="3" customFormat="1" ht="18.75" spans="1:5">
      <c r="A8153" s="8" t="str">
        <f t="shared" si="141"/>
        <v>250034</v>
      </c>
      <c r="B8153" s="8" t="str">
        <f>"2561408014429"</f>
        <v>2561408014429</v>
      </c>
      <c r="C8153" s="8" t="s">
        <v>14</v>
      </c>
      <c r="D8153" s="9">
        <v>0</v>
      </c>
      <c r="E8153" s="8">
        <v>251</v>
      </c>
    </row>
    <row r="8154" s="3" customFormat="1" ht="18.75" spans="1:5">
      <c r="A8154" s="8" t="str">
        <f t="shared" si="141"/>
        <v>250034</v>
      </c>
      <c r="B8154" s="8" t="str">
        <f>"2561408014430"</f>
        <v>2561408014430</v>
      </c>
      <c r="C8154" s="8" t="s">
        <v>14</v>
      </c>
      <c r="D8154" s="9">
        <v>0</v>
      </c>
      <c r="E8154" s="8">
        <v>251</v>
      </c>
    </row>
    <row r="8155" s="3" customFormat="1" ht="18.75" spans="1:5">
      <c r="A8155" s="8" t="str">
        <f t="shared" si="141"/>
        <v>250034</v>
      </c>
      <c r="B8155" s="8" t="str">
        <f>"2561408014505"</f>
        <v>2561408014505</v>
      </c>
      <c r="C8155" s="8" t="s">
        <v>14</v>
      </c>
      <c r="D8155" s="9">
        <v>0</v>
      </c>
      <c r="E8155" s="8">
        <v>251</v>
      </c>
    </row>
    <row r="8156" s="3" customFormat="1" ht="18.75" spans="1:5">
      <c r="A8156" s="8" t="str">
        <f t="shared" si="141"/>
        <v>250034</v>
      </c>
      <c r="B8156" s="8" t="str">
        <f>"2561408014508"</f>
        <v>2561408014508</v>
      </c>
      <c r="C8156" s="8" t="s">
        <v>14</v>
      </c>
      <c r="D8156" s="9">
        <v>0</v>
      </c>
      <c r="E8156" s="8">
        <v>251</v>
      </c>
    </row>
    <row r="8157" s="3" customFormat="1" ht="18.75" spans="1:5">
      <c r="A8157" s="8" t="str">
        <f t="shared" si="141"/>
        <v>250034</v>
      </c>
      <c r="B8157" s="8" t="str">
        <f>"2561408014515"</f>
        <v>2561408014515</v>
      </c>
      <c r="C8157" s="8" t="s">
        <v>14</v>
      </c>
      <c r="D8157" s="9">
        <v>0</v>
      </c>
      <c r="E8157" s="8">
        <v>251</v>
      </c>
    </row>
    <row r="8158" s="3" customFormat="1" ht="18.75" spans="1:5">
      <c r="A8158" s="8" t="str">
        <f t="shared" ref="A8158:A8221" si="142">"250034"</f>
        <v>250034</v>
      </c>
      <c r="B8158" s="8" t="str">
        <f>"2561408014516"</f>
        <v>2561408014516</v>
      </c>
      <c r="C8158" s="8" t="s">
        <v>14</v>
      </c>
      <c r="D8158" s="9">
        <v>0</v>
      </c>
      <c r="E8158" s="8">
        <v>251</v>
      </c>
    </row>
    <row r="8159" s="3" customFormat="1" ht="18.75" spans="1:5">
      <c r="A8159" s="8" t="str">
        <f t="shared" si="142"/>
        <v>250034</v>
      </c>
      <c r="B8159" s="8" t="str">
        <f>"2561408014517"</f>
        <v>2561408014517</v>
      </c>
      <c r="C8159" s="8" t="s">
        <v>14</v>
      </c>
      <c r="D8159" s="9">
        <v>0</v>
      </c>
      <c r="E8159" s="8">
        <v>251</v>
      </c>
    </row>
    <row r="8160" s="3" customFormat="1" ht="18.75" spans="1:5">
      <c r="A8160" s="8" t="str">
        <f t="shared" si="142"/>
        <v>250034</v>
      </c>
      <c r="B8160" s="8" t="str">
        <f>"2561408014518"</f>
        <v>2561408014518</v>
      </c>
      <c r="C8160" s="8" t="s">
        <v>14</v>
      </c>
      <c r="D8160" s="9">
        <v>0</v>
      </c>
      <c r="E8160" s="8">
        <v>251</v>
      </c>
    </row>
    <row r="8161" s="3" customFormat="1" ht="18.75" spans="1:5">
      <c r="A8161" s="8" t="str">
        <f t="shared" si="142"/>
        <v>250034</v>
      </c>
      <c r="B8161" s="8" t="str">
        <f>"2561408014519"</f>
        <v>2561408014519</v>
      </c>
      <c r="C8161" s="8" t="s">
        <v>14</v>
      </c>
      <c r="D8161" s="9">
        <v>0</v>
      </c>
      <c r="E8161" s="8">
        <v>251</v>
      </c>
    </row>
    <row r="8162" s="3" customFormat="1" ht="18.75" spans="1:5">
      <c r="A8162" s="8" t="str">
        <f t="shared" si="142"/>
        <v>250034</v>
      </c>
      <c r="B8162" s="8" t="str">
        <f>"2561408014528"</f>
        <v>2561408014528</v>
      </c>
      <c r="C8162" s="8" t="s">
        <v>14</v>
      </c>
      <c r="D8162" s="9">
        <v>0</v>
      </c>
      <c r="E8162" s="8">
        <v>251</v>
      </c>
    </row>
    <row r="8163" s="3" customFormat="1" ht="18.75" spans="1:5">
      <c r="A8163" s="8" t="str">
        <f t="shared" si="142"/>
        <v>250034</v>
      </c>
      <c r="B8163" s="8" t="str">
        <f>"2561408014530"</f>
        <v>2561408014530</v>
      </c>
      <c r="C8163" s="8" t="s">
        <v>14</v>
      </c>
      <c r="D8163" s="9">
        <v>0</v>
      </c>
      <c r="E8163" s="8">
        <v>251</v>
      </c>
    </row>
    <row r="8164" s="3" customFormat="1" ht="18.75" spans="1:5">
      <c r="A8164" s="8" t="str">
        <f t="shared" si="142"/>
        <v>250034</v>
      </c>
      <c r="B8164" s="8" t="str">
        <f>"2561408014605"</f>
        <v>2561408014605</v>
      </c>
      <c r="C8164" s="8" t="s">
        <v>14</v>
      </c>
      <c r="D8164" s="9">
        <v>0</v>
      </c>
      <c r="E8164" s="8">
        <v>251</v>
      </c>
    </row>
    <row r="8165" s="3" customFormat="1" ht="18.75" spans="1:5">
      <c r="A8165" s="8" t="str">
        <f t="shared" si="142"/>
        <v>250034</v>
      </c>
      <c r="B8165" s="8" t="str">
        <f>"2561408014607"</f>
        <v>2561408014607</v>
      </c>
      <c r="C8165" s="8" t="s">
        <v>14</v>
      </c>
      <c r="D8165" s="9">
        <v>0</v>
      </c>
      <c r="E8165" s="8">
        <v>251</v>
      </c>
    </row>
    <row r="8166" s="3" customFormat="1" ht="18.75" spans="1:5">
      <c r="A8166" s="8" t="str">
        <f t="shared" si="142"/>
        <v>250034</v>
      </c>
      <c r="B8166" s="8" t="str">
        <f>"2561408014609"</f>
        <v>2561408014609</v>
      </c>
      <c r="C8166" s="8" t="s">
        <v>14</v>
      </c>
      <c r="D8166" s="9">
        <v>0</v>
      </c>
      <c r="E8166" s="8">
        <v>251</v>
      </c>
    </row>
    <row r="8167" s="3" customFormat="1" ht="18.75" spans="1:5">
      <c r="A8167" s="8" t="str">
        <f t="shared" si="142"/>
        <v>250034</v>
      </c>
      <c r="B8167" s="8" t="str">
        <f>"2561408014613"</f>
        <v>2561408014613</v>
      </c>
      <c r="C8167" s="8" t="s">
        <v>14</v>
      </c>
      <c r="D8167" s="9">
        <v>0</v>
      </c>
      <c r="E8167" s="8">
        <v>251</v>
      </c>
    </row>
    <row r="8168" s="3" customFormat="1" ht="18.75" spans="1:5">
      <c r="A8168" s="8" t="str">
        <f t="shared" si="142"/>
        <v>250034</v>
      </c>
      <c r="B8168" s="8" t="str">
        <f>"2561408014617"</f>
        <v>2561408014617</v>
      </c>
      <c r="C8168" s="8" t="s">
        <v>14</v>
      </c>
      <c r="D8168" s="9">
        <v>0</v>
      </c>
      <c r="E8168" s="8">
        <v>251</v>
      </c>
    </row>
    <row r="8169" s="3" customFormat="1" ht="18.75" spans="1:5">
      <c r="A8169" s="8" t="str">
        <f t="shared" si="142"/>
        <v>250034</v>
      </c>
      <c r="B8169" s="8" t="str">
        <f>"2561408014619"</f>
        <v>2561408014619</v>
      </c>
      <c r="C8169" s="8" t="s">
        <v>14</v>
      </c>
      <c r="D8169" s="9">
        <v>0</v>
      </c>
      <c r="E8169" s="8">
        <v>251</v>
      </c>
    </row>
    <row r="8170" s="3" customFormat="1" ht="18.75" spans="1:5">
      <c r="A8170" s="8" t="str">
        <f t="shared" si="142"/>
        <v>250034</v>
      </c>
      <c r="B8170" s="8" t="str">
        <f>"2561408014623"</f>
        <v>2561408014623</v>
      </c>
      <c r="C8170" s="8" t="s">
        <v>14</v>
      </c>
      <c r="D8170" s="9">
        <v>0</v>
      </c>
      <c r="E8170" s="8">
        <v>251</v>
      </c>
    </row>
    <row r="8171" s="3" customFormat="1" ht="18.75" spans="1:5">
      <c r="A8171" s="8" t="str">
        <f t="shared" si="142"/>
        <v>250034</v>
      </c>
      <c r="B8171" s="8" t="str">
        <f>"2561408014625"</f>
        <v>2561408014625</v>
      </c>
      <c r="C8171" s="8" t="s">
        <v>14</v>
      </c>
      <c r="D8171" s="9">
        <v>0</v>
      </c>
      <c r="E8171" s="8">
        <v>251</v>
      </c>
    </row>
    <row r="8172" s="3" customFormat="1" ht="18.75" spans="1:5">
      <c r="A8172" s="8" t="str">
        <f t="shared" si="142"/>
        <v>250034</v>
      </c>
      <c r="B8172" s="8" t="str">
        <f>"2561408014626"</f>
        <v>2561408014626</v>
      </c>
      <c r="C8172" s="8" t="s">
        <v>14</v>
      </c>
      <c r="D8172" s="9">
        <v>0</v>
      </c>
      <c r="E8172" s="8">
        <v>251</v>
      </c>
    </row>
    <row r="8173" s="3" customFormat="1" ht="18.75" spans="1:5">
      <c r="A8173" s="8" t="str">
        <f t="shared" si="142"/>
        <v>250034</v>
      </c>
      <c r="B8173" s="8" t="str">
        <f>"2561408014703"</f>
        <v>2561408014703</v>
      </c>
      <c r="C8173" s="8" t="s">
        <v>14</v>
      </c>
      <c r="D8173" s="9">
        <v>0</v>
      </c>
      <c r="E8173" s="8">
        <v>251</v>
      </c>
    </row>
    <row r="8174" s="3" customFormat="1" ht="18.75" spans="1:5">
      <c r="A8174" s="8" t="str">
        <f t="shared" si="142"/>
        <v>250034</v>
      </c>
      <c r="B8174" s="8" t="str">
        <f>"2561408014708"</f>
        <v>2561408014708</v>
      </c>
      <c r="C8174" s="8" t="s">
        <v>14</v>
      </c>
      <c r="D8174" s="9">
        <v>0</v>
      </c>
      <c r="E8174" s="8">
        <v>251</v>
      </c>
    </row>
    <row r="8175" s="3" customFormat="1" ht="18.75" spans="1:5">
      <c r="A8175" s="8" t="str">
        <f t="shared" si="142"/>
        <v>250034</v>
      </c>
      <c r="B8175" s="8" t="str">
        <f>"2561408014711"</f>
        <v>2561408014711</v>
      </c>
      <c r="C8175" s="8" t="s">
        <v>14</v>
      </c>
      <c r="D8175" s="9">
        <v>0</v>
      </c>
      <c r="E8175" s="8">
        <v>251</v>
      </c>
    </row>
    <row r="8176" s="3" customFormat="1" ht="18.75" spans="1:5">
      <c r="A8176" s="8" t="str">
        <f t="shared" si="142"/>
        <v>250034</v>
      </c>
      <c r="B8176" s="8" t="str">
        <f>"2561408014712"</f>
        <v>2561408014712</v>
      </c>
      <c r="C8176" s="8" t="s">
        <v>14</v>
      </c>
      <c r="D8176" s="9">
        <v>0</v>
      </c>
      <c r="E8176" s="8">
        <v>251</v>
      </c>
    </row>
    <row r="8177" s="3" customFormat="1" ht="18.75" spans="1:5">
      <c r="A8177" s="8" t="str">
        <f t="shared" si="142"/>
        <v>250034</v>
      </c>
      <c r="B8177" s="8" t="str">
        <f>"2561408014715"</f>
        <v>2561408014715</v>
      </c>
      <c r="C8177" s="8" t="s">
        <v>14</v>
      </c>
      <c r="D8177" s="9">
        <v>0</v>
      </c>
      <c r="E8177" s="8">
        <v>251</v>
      </c>
    </row>
    <row r="8178" s="3" customFormat="1" ht="18.75" spans="1:5">
      <c r="A8178" s="8" t="str">
        <f t="shared" si="142"/>
        <v>250034</v>
      </c>
      <c r="B8178" s="8" t="str">
        <f>"2561408014717"</f>
        <v>2561408014717</v>
      </c>
      <c r="C8178" s="8" t="s">
        <v>14</v>
      </c>
      <c r="D8178" s="9">
        <v>0</v>
      </c>
      <c r="E8178" s="8">
        <v>251</v>
      </c>
    </row>
    <row r="8179" s="3" customFormat="1" ht="18.75" spans="1:5">
      <c r="A8179" s="8" t="str">
        <f t="shared" si="142"/>
        <v>250034</v>
      </c>
      <c r="B8179" s="8" t="str">
        <f>"2561408014718"</f>
        <v>2561408014718</v>
      </c>
      <c r="C8179" s="8" t="s">
        <v>14</v>
      </c>
      <c r="D8179" s="9">
        <v>0</v>
      </c>
      <c r="E8179" s="8">
        <v>251</v>
      </c>
    </row>
    <row r="8180" s="3" customFormat="1" ht="18.75" spans="1:5">
      <c r="A8180" s="8" t="str">
        <f t="shared" si="142"/>
        <v>250034</v>
      </c>
      <c r="B8180" s="8" t="str">
        <f>"2561408014722"</f>
        <v>2561408014722</v>
      </c>
      <c r="C8180" s="8" t="s">
        <v>14</v>
      </c>
      <c r="D8180" s="9">
        <v>0</v>
      </c>
      <c r="E8180" s="8">
        <v>251</v>
      </c>
    </row>
    <row r="8181" s="3" customFormat="1" ht="18.75" spans="1:5">
      <c r="A8181" s="8" t="str">
        <f t="shared" si="142"/>
        <v>250034</v>
      </c>
      <c r="B8181" s="8" t="str">
        <f>"2561408014723"</f>
        <v>2561408014723</v>
      </c>
      <c r="C8181" s="8" t="s">
        <v>14</v>
      </c>
      <c r="D8181" s="9">
        <v>0</v>
      </c>
      <c r="E8181" s="8">
        <v>251</v>
      </c>
    </row>
    <row r="8182" s="3" customFormat="1" ht="18.75" spans="1:5">
      <c r="A8182" s="8" t="str">
        <f t="shared" si="142"/>
        <v>250034</v>
      </c>
      <c r="B8182" s="8" t="str">
        <f>"2561408014728"</f>
        <v>2561408014728</v>
      </c>
      <c r="C8182" s="8" t="s">
        <v>14</v>
      </c>
      <c r="D8182" s="9">
        <v>0</v>
      </c>
      <c r="E8182" s="8">
        <v>251</v>
      </c>
    </row>
    <row r="8183" s="3" customFormat="1" ht="18.75" spans="1:5">
      <c r="A8183" s="8" t="str">
        <f t="shared" si="142"/>
        <v>250034</v>
      </c>
      <c r="B8183" s="8" t="str">
        <f>"2561408014801"</f>
        <v>2561408014801</v>
      </c>
      <c r="C8183" s="8" t="s">
        <v>14</v>
      </c>
      <c r="D8183" s="9">
        <v>0</v>
      </c>
      <c r="E8183" s="8">
        <v>251</v>
      </c>
    </row>
    <row r="8184" s="3" customFormat="1" ht="18.75" spans="1:5">
      <c r="A8184" s="8" t="str">
        <f t="shared" si="142"/>
        <v>250034</v>
      </c>
      <c r="B8184" s="8" t="str">
        <f>"2561408014804"</f>
        <v>2561408014804</v>
      </c>
      <c r="C8184" s="8" t="s">
        <v>14</v>
      </c>
      <c r="D8184" s="9">
        <v>0</v>
      </c>
      <c r="E8184" s="8">
        <v>251</v>
      </c>
    </row>
    <row r="8185" s="3" customFormat="1" ht="18.75" spans="1:5">
      <c r="A8185" s="8" t="str">
        <f t="shared" si="142"/>
        <v>250034</v>
      </c>
      <c r="B8185" s="8" t="str">
        <f>"2561408014805"</f>
        <v>2561408014805</v>
      </c>
      <c r="C8185" s="8" t="s">
        <v>14</v>
      </c>
      <c r="D8185" s="9">
        <v>0</v>
      </c>
      <c r="E8185" s="8">
        <v>251</v>
      </c>
    </row>
    <row r="8186" s="3" customFormat="1" ht="18.75" spans="1:5">
      <c r="A8186" s="8" t="str">
        <f t="shared" si="142"/>
        <v>250034</v>
      </c>
      <c r="B8186" s="8" t="str">
        <f>"2561408014808"</f>
        <v>2561408014808</v>
      </c>
      <c r="C8186" s="8" t="s">
        <v>14</v>
      </c>
      <c r="D8186" s="9">
        <v>0</v>
      </c>
      <c r="E8186" s="8">
        <v>251</v>
      </c>
    </row>
    <row r="8187" s="3" customFormat="1" ht="18.75" spans="1:5">
      <c r="A8187" s="8" t="str">
        <f t="shared" si="142"/>
        <v>250034</v>
      </c>
      <c r="B8187" s="8" t="str">
        <f>"2561408014809"</f>
        <v>2561408014809</v>
      </c>
      <c r="C8187" s="8" t="s">
        <v>14</v>
      </c>
      <c r="D8187" s="9">
        <v>0</v>
      </c>
      <c r="E8187" s="8">
        <v>251</v>
      </c>
    </row>
    <row r="8188" s="3" customFormat="1" ht="18.75" spans="1:5">
      <c r="A8188" s="8" t="str">
        <f t="shared" si="142"/>
        <v>250034</v>
      </c>
      <c r="B8188" s="8" t="str">
        <f>"2561408014814"</f>
        <v>2561408014814</v>
      </c>
      <c r="C8188" s="8" t="s">
        <v>14</v>
      </c>
      <c r="D8188" s="9">
        <v>0</v>
      </c>
      <c r="E8188" s="8">
        <v>251</v>
      </c>
    </row>
    <row r="8189" s="3" customFormat="1" ht="18.75" spans="1:5">
      <c r="A8189" s="8" t="str">
        <f t="shared" si="142"/>
        <v>250034</v>
      </c>
      <c r="B8189" s="8" t="str">
        <f>"2561408014815"</f>
        <v>2561408014815</v>
      </c>
      <c r="C8189" s="8" t="s">
        <v>14</v>
      </c>
      <c r="D8189" s="9">
        <v>0</v>
      </c>
      <c r="E8189" s="8">
        <v>251</v>
      </c>
    </row>
    <row r="8190" s="3" customFormat="1" ht="18.75" spans="1:5">
      <c r="A8190" s="8" t="str">
        <f t="shared" si="142"/>
        <v>250034</v>
      </c>
      <c r="B8190" s="8" t="str">
        <f>"2561408014818"</f>
        <v>2561408014818</v>
      </c>
      <c r="C8190" s="8" t="s">
        <v>14</v>
      </c>
      <c r="D8190" s="9">
        <v>0</v>
      </c>
      <c r="E8190" s="8">
        <v>251</v>
      </c>
    </row>
    <row r="8191" s="3" customFormat="1" ht="18.75" spans="1:5">
      <c r="A8191" s="8" t="str">
        <f t="shared" si="142"/>
        <v>250034</v>
      </c>
      <c r="B8191" s="8" t="str">
        <f>"2561408014819"</f>
        <v>2561408014819</v>
      </c>
      <c r="C8191" s="8" t="s">
        <v>14</v>
      </c>
      <c r="D8191" s="9">
        <v>0</v>
      </c>
      <c r="E8191" s="8">
        <v>251</v>
      </c>
    </row>
    <row r="8192" s="3" customFormat="1" ht="18.75" spans="1:5">
      <c r="A8192" s="8" t="str">
        <f t="shared" si="142"/>
        <v>250034</v>
      </c>
      <c r="B8192" s="8" t="str">
        <f>"2561408014822"</f>
        <v>2561408014822</v>
      </c>
      <c r="C8192" s="8" t="s">
        <v>14</v>
      </c>
      <c r="D8192" s="9">
        <v>0</v>
      </c>
      <c r="E8192" s="8">
        <v>251</v>
      </c>
    </row>
    <row r="8193" s="3" customFormat="1" ht="18.75" spans="1:5">
      <c r="A8193" s="8" t="str">
        <f t="shared" si="142"/>
        <v>250034</v>
      </c>
      <c r="B8193" s="8" t="str">
        <f>"2561408014824"</f>
        <v>2561408014824</v>
      </c>
      <c r="C8193" s="8" t="s">
        <v>14</v>
      </c>
      <c r="D8193" s="9">
        <v>0</v>
      </c>
      <c r="E8193" s="8">
        <v>251</v>
      </c>
    </row>
    <row r="8194" s="3" customFormat="1" ht="18.75" spans="1:5">
      <c r="A8194" s="8" t="str">
        <f t="shared" si="142"/>
        <v>250034</v>
      </c>
      <c r="B8194" s="8" t="str">
        <f>"2561408014827"</f>
        <v>2561408014827</v>
      </c>
      <c r="C8194" s="8" t="s">
        <v>14</v>
      </c>
      <c r="D8194" s="9">
        <v>0</v>
      </c>
      <c r="E8194" s="8">
        <v>251</v>
      </c>
    </row>
    <row r="8195" s="3" customFormat="1" ht="18.75" spans="1:5">
      <c r="A8195" s="8" t="str">
        <f t="shared" si="142"/>
        <v>250034</v>
      </c>
      <c r="B8195" s="8" t="str">
        <f>"2561408014828"</f>
        <v>2561408014828</v>
      </c>
      <c r="C8195" s="8" t="s">
        <v>14</v>
      </c>
      <c r="D8195" s="9">
        <v>0</v>
      </c>
      <c r="E8195" s="8">
        <v>251</v>
      </c>
    </row>
    <row r="8196" s="3" customFormat="1" ht="18.75" spans="1:5">
      <c r="A8196" s="8" t="str">
        <f t="shared" si="142"/>
        <v>250034</v>
      </c>
      <c r="B8196" s="8" t="str">
        <f>"2561408014829"</f>
        <v>2561408014829</v>
      </c>
      <c r="C8196" s="8" t="s">
        <v>14</v>
      </c>
      <c r="D8196" s="9">
        <v>0</v>
      </c>
      <c r="E8196" s="8">
        <v>251</v>
      </c>
    </row>
    <row r="8197" s="3" customFormat="1" ht="18.75" spans="1:5">
      <c r="A8197" s="8" t="str">
        <f t="shared" si="142"/>
        <v>250034</v>
      </c>
      <c r="B8197" s="8" t="str">
        <f>"2561408014908"</f>
        <v>2561408014908</v>
      </c>
      <c r="C8197" s="8" t="s">
        <v>14</v>
      </c>
      <c r="D8197" s="9">
        <v>0</v>
      </c>
      <c r="E8197" s="8">
        <v>251</v>
      </c>
    </row>
    <row r="8198" s="3" customFormat="1" ht="18.75" spans="1:5">
      <c r="A8198" s="8" t="str">
        <f t="shared" si="142"/>
        <v>250034</v>
      </c>
      <c r="B8198" s="8" t="str">
        <f>"2561408014909"</f>
        <v>2561408014909</v>
      </c>
      <c r="C8198" s="8" t="s">
        <v>14</v>
      </c>
      <c r="D8198" s="9">
        <v>0</v>
      </c>
      <c r="E8198" s="8">
        <v>251</v>
      </c>
    </row>
    <row r="8199" s="3" customFormat="1" ht="18.75" spans="1:5">
      <c r="A8199" s="8" t="str">
        <f t="shared" si="142"/>
        <v>250034</v>
      </c>
      <c r="B8199" s="8" t="str">
        <f>"2561408014912"</f>
        <v>2561408014912</v>
      </c>
      <c r="C8199" s="8" t="s">
        <v>14</v>
      </c>
      <c r="D8199" s="9">
        <v>0</v>
      </c>
      <c r="E8199" s="8">
        <v>251</v>
      </c>
    </row>
    <row r="8200" s="3" customFormat="1" ht="18.75" spans="1:5">
      <c r="A8200" s="8" t="str">
        <f t="shared" si="142"/>
        <v>250034</v>
      </c>
      <c r="B8200" s="8" t="str">
        <f>"2561408014913"</f>
        <v>2561408014913</v>
      </c>
      <c r="C8200" s="8" t="s">
        <v>14</v>
      </c>
      <c r="D8200" s="9">
        <v>0</v>
      </c>
      <c r="E8200" s="8">
        <v>251</v>
      </c>
    </row>
    <row r="8201" s="3" customFormat="1" ht="18.75" spans="1:5">
      <c r="A8201" s="8" t="str">
        <f t="shared" si="142"/>
        <v>250034</v>
      </c>
      <c r="B8201" s="8" t="str">
        <f>"2561408014914"</f>
        <v>2561408014914</v>
      </c>
      <c r="C8201" s="8" t="s">
        <v>14</v>
      </c>
      <c r="D8201" s="9">
        <v>0</v>
      </c>
      <c r="E8201" s="8">
        <v>251</v>
      </c>
    </row>
    <row r="8202" s="3" customFormat="1" ht="18.75" spans="1:5">
      <c r="A8202" s="8" t="str">
        <f t="shared" si="142"/>
        <v>250034</v>
      </c>
      <c r="B8202" s="8" t="str">
        <f>"2561408014915"</f>
        <v>2561408014915</v>
      </c>
      <c r="C8202" s="8" t="s">
        <v>14</v>
      </c>
      <c r="D8202" s="9">
        <v>0</v>
      </c>
      <c r="E8202" s="8">
        <v>251</v>
      </c>
    </row>
    <row r="8203" s="3" customFormat="1" ht="18.75" spans="1:5">
      <c r="A8203" s="8" t="str">
        <f t="shared" si="142"/>
        <v>250034</v>
      </c>
      <c r="B8203" s="8" t="str">
        <f>"2561408014918"</f>
        <v>2561408014918</v>
      </c>
      <c r="C8203" s="8" t="s">
        <v>14</v>
      </c>
      <c r="D8203" s="9">
        <v>0</v>
      </c>
      <c r="E8203" s="8">
        <v>251</v>
      </c>
    </row>
    <row r="8204" s="3" customFormat="1" ht="18.75" spans="1:5">
      <c r="A8204" s="8" t="str">
        <f t="shared" si="142"/>
        <v>250034</v>
      </c>
      <c r="B8204" s="8" t="str">
        <f>"2561408014919"</f>
        <v>2561408014919</v>
      </c>
      <c r="C8204" s="8" t="s">
        <v>14</v>
      </c>
      <c r="D8204" s="9">
        <v>0</v>
      </c>
      <c r="E8204" s="8">
        <v>251</v>
      </c>
    </row>
    <row r="8205" s="3" customFormat="1" ht="18.75" spans="1:5">
      <c r="A8205" s="8" t="str">
        <f t="shared" si="142"/>
        <v>250034</v>
      </c>
      <c r="B8205" s="8" t="str">
        <f>"2561408014921"</f>
        <v>2561408014921</v>
      </c>
      <c r="C8205" s="8" t="s">
        <v>14</v>
      </c>
      <c r="D8205" s="9">
        <v>0</v>
      </c>
      <c r="E8205" s="8">
        <v>251</v>
      </c>
    </row>
    <row r="8206" s="3" customFormat="1" ht="18.75" spans="1:5">
      <c r="A8206" s="8" t="str">
        <f t="shared" si="142"/>
        <v>250034</v>
      </c>
      <c r="B8206" s="8" t="str">
        <f>"2561408014922"</f>
        <v>2561408014922</v>
      </c>
      <c r="C8206" s="8" t="s">
        <v>14</v>
      </c>
      <c r="D8206" s="9">
        <v>0</v>
      </c>
      <c r="E8206" s="8">
        <v>251</v>
      </c>
    </row>
    <row r="8207" s="3" customFormat="1" ht="18.75" spans="1:5">
      <c r="A8207" s="8" t="str">
        <f t="shared" si="142"/>
        <v>250034</v>
      </c>
      <c r="B8207" s="8" t="str">
        <f>"2561408014925"</f>
        <v>2561408014925</v>
      </c>
      <c r="C8207" s="8" t="s">
        <v>14</v>
      </c>
      <c r="D8207" s="9">
        <v>0</v>
      </c>
      <c r="E8207" s="8">
        <v>251</v>
      </c>
    </row>
    <row r="8208" s="3" customFormat="1" ht="18.75" spans="1:5">
      <c r="A8208" s="8" t="str">
        <f t="shared" si="142"/>
        <v>250034</v>
      </c>
      <c r="B8208" s="8" t="str">
        <f>"2561408014926"</f>
        <v>2561408014926</v>
      </c>
      <c r="C8208" s="8" t="s">
        <v>14</v>
      </c>
      <c r="D8208" s="9">
        <v>0</v>
      </c>
      <c r="E8208" s="8">
        <v>251</v>
      </c>
    </row>
    <row r="8209" s="3" customFormat="1" ht="18.75" spans="1:5">
      <c r="A8209" s="8" t="str">
        <f t="shared" si="142"/>
        <v>250034</v>
      </c>
      <c r="B8209" s="8" t="str">
        <f>"2561408014927"</f>
        <v>2561408014927</v>
      </c>
      <c r="C8209" s="8" t="s">
        <v>14</v>
      </c>
      <c r="D8209" s="9">
        <v>0</v>
      </c>
      <c r="E8209" s="8">
        <v>251</v>
      </c>
    </row>
    <row r="8210" s="3" customFormat="1" ht="18.75" spans="1:5">
      <c r="A8210" s="8" t="str">
        <f t="shared" si="142"/>
        <v>250034</v>
      </c>
      <c r="B8210" s="8" t="str">
        <f>"2561408014928"</f>
        <v>2561408014928</v>
      </c>
      <c r="C8210" s="8" t="s">
        <v>14</v>
      </c>
      <c r="D8210" s="9">
        <v>0</v>
      </c>
      <c r="E8210" s="8">
        <v>251</v>
      </c>
    </row>
    <row r="8211" s="3" customFormat="1" ht="18.75" spans="1:5">
      <c r="A8211" s="8" t="str">
        <f t="shared" si="142"/>
        <v>250034</v>
      </c>
      <c r="B8211" s="8" t="str">
        <f>"2561408014929"</f>
        <v>2561408014929</v>
      </c>
      <c r="C8211" s="8" t="s">
        <v>14</v>
      </c>
      <c r="D8211" s="9">
        <v>0</v>
      </c>
      <c r="E8211" s="8">
        <v>251</v>
      </c>
    </row>
    <row r="8212" s="3" customFormat="1" ht="18.75" spans="1:5">
      <c r="A8212" s="8" t="str">
        <f t="shared" si="142"/>
        <v>250034</v>
      </c>
      <c r="B8212" s="8" t="str">
        <f>"2561408015002"</f>
        <v>2561408015002</v>
      </c>
      <c r="C8212" s="8" t="s">
        <v>14</v>
      </c>
      <c r="D8212" s="9">
        <v>0</v>
      </c>
      <c r="E8212" s="8">
        <v>251</v>
      </c>
    </row>
    <row r="8213" s="3" customFormat="1" ht="18.75" spans="1:5">
      <c r="A8213" s="8" t="str">
        <f t="shared" si="142"/>
        <v>250034</v>
      </c>
      <c r="B8213" s="8" t="str">
        <f>"2561408015008"</f>
        <v>2561408015008</v>
      </c>
      <c r="C8213" s="8" t="s">
        <v>14</v>
      </c>
      <c r="D8213" s="9">
        <v>0</v>
      </c>
      <c r="E8213" s="8">
        <v>251</v>
      </c>
    </row>
    <row r="8214" s="3" customFormat="1" ht="18.75" spans="1:5">
      <c r="A8214" s="8" t="str">
        <f t="shared" si="142"/>
        <v>250034</v>
      </c>
      <c r="B8214" s="8" t="str">
        <f>"2561408015012"</f>
        <v>2561408015012</v>
      </c>
      <c r="C8214" s="8" t="s">
        <v>14</v>
      </c>
      <c r="D8214" s="9">
        <v>0</v>
      </c>
      <c r="E8214" s="8">
        <v>251</v>
      </c>
    </row>
    <row r="8215" s="3" customFormat="1" ht="18.75" spans="1:5">
      <c r="A8215" s="8" t="str">
        <f t="shared" si="142"/>
        <v>250034</v>
      </c>
      <c r="B8215" s="8" t="str">
        <f>"2561408015013"</f>
        <v>2561408015013</v>
      </c>
      <c r="C8215" s="8" t="s">
        <v>14</v>
      </c>
      <c r="D8215" s="9">
        <v>0</v>
      </c>
      <c r="E8215" s="8">
        <v>251</v>
      </c>
    </row>
    <row r="8216" s="3" customFormat="1" ht="18.75" spans="1:5">
      <c r="A8216" s="8" t="str">
        <f t="shared" si="142"/>
        <v>250034</v>
      </c>
      <c r="B8216" s="8" t="str">
        <f>"2561408015017"</f>
        <v>2561408015017</v>
      </c>
      <c r="C8216" s="8" t="s">
        <v>14</v>
      </c>
      <c r="D8216" s="9">
        <v>0</v>
      </c>
      <c r="E8216" s="8">
        <v>251</v>
      </c>
    </row>
    <row r="8217" s="3" customFormat="1" ht="18.75" spans="1:5">
      <c r="A8217" s="8" t="str">
        <f t="shared" si="142"/>
        <v>250034</v>
      </c>
      <c r="B8217" s="8" t="str">
        <f>"2561408015019"</f>
        <v>2561408015019</v>
      </c>
      <c r="C8217" s="8" t="s">
        <v>14</v>
      </c>
      <c r="D8217" s="9">
        <v>0</v>
      </c>
      <c r="E8217" s="8">
        <v>251</v>
      </c>
    </row>
    <row r="8218" s="3" customFormat="1" ht="18.75" spans="1:5">
      <c r="A8218" s="8" t="str">
        <f t="shared" si="142"/>
        <v>250034</v>
      </c>
      <c r="B8218" s="8" t="str">
        <f>"2561408015023"</f>
        <v>2561408015023</v>
      </c>
      <c r="C8218" s="8" t="s">
        <v>14</v>
      </c>
      <c r="D8218" s="9">
        <v>0</v>
      </c>
      <c r="E8218" s="8">
        <v>251</v>
      </c>
    </row>
    <row r="8219" s="3" customFormat="1" ht="18.75" spans="1:5">
      <c r="A8219" s="8" t="str">
        <f t="shared" si="142"/>
        <v>250034</v>
      </c>
      <c r="B8219" s="8" t="str">
        <f>"2561408015025"</f>
        <v>2561408015025</v>
      </c>
      <c r="C8219" s="8" t="s">
        <v>14</v>
      </c>
      <c r="D8219" s="9">
        <v>0</v>
      </c>
      <c r="E8219" s="8">
        <v>251</v>
      </c>
    </row>
    <row r="8220" s="3" customFormat="1" ht="18.75" spans="1:5">
      <c r="A8220" s="8" t="str">
        <f t="shared" si="142"/>
        <v>250034</v>
      </c>
      <c r="B8220" s="8" t="str">
        <f>"2561408015101"</f>
        <v>2561408015101</v>
      </c>
      <c r="C8220" s="8" t="s">
        <v>14</v>
      </c>
      <c r="D8220" s="9">
        <v>0</v>
      </c>
      <c r="E8220" s="8">
        <v>251</v>
      </c>
    </row>
    <row r="8221" s="3" customFormat="1" ht="18.75" spans="1:5">
      <c r="A8221" s="8" t="str">
        <f t="shared" si="142"/>
        <v>250034</v>
      </c>
      <c r="B8221" s="8" t="str">
        <f>"2561408015102"</f>
        <v>2561408015102</v>
      </c>
      <c r="C8221" s="8" t="s">
        <v>14</v>
      </c>
      <c r="D8221" s="9">
        <v>0</v>
      </c>
      <c r="E8221" s="8">
        <v>251</v>
      </c>
    </row>
    <row r="8222" s="3" customFormat="1" ht="18.75" spans="1:5">
      <c r="A8222" s="8" t="str">
        <f t="shared" ref="A8222:A8231" si="143">"250034"</f>
        <v>250034</v>
      </c>
      <c r="B8222" s="8" t="str">
        <f>"2561408015107"</f>
        <v>2561408015107</v>
      </c>
      <c r="C8222" s="8" t="s">
        <v>14</v>
      </c>
      <c r="D8222" s="9">
        <v>0</v>
      </c>
      <c r="E8222" s="8">
        <v>251</v>
      </c>
    </row>
    <row r="8223" s="3" customFormat="1" ht="18.75" spans="1:5">
      <c r="A8223" s="8" t="str">
        <f t="shared" si="143"/>
        <v>250034</v>
      </c>
      <c r="B8223" s="8" t="str">
        <f>"2561408015109"</f>
        <v>2561408015109</v>
      </c>
      <c r="C8223" s="8" t="s">
        <v>14</v>
      </c>
      <c r="D8223" s="9">
        <v>0</v>
      </c>
      <c r="E8223" s="8">
        <v>251</v>
      </c>
    </row>
    <row r="8224" s="3" customFormat="1" ht="18.75" spans="1:5">
      <c r="A8224" s="8" t="str">
        <f t="shared" si="143"/>
        <v>250034</v>
      </c>
      <c r="B8224" s="8" t="str">
        <f>"2561408015112"</f>
        <v>2561408015112</v>
      </c>
      <c r="C8224" s="8" t="s">
        <v>14</v>
      </c>
      <c r="D8224" s="9">
        <v>0</v>
      </c>
      <c r="E8224" s="8">
        <v>251</v>
      </c>
    </row>
    <row r="8225" s="3" customFormat="1" ht="18.75" spans="1:5">
      <c r="A8225" s="8" t="str">
        <f t="shared" si="143"/>
        <v>250034</v>
      </c>
      <c r="B8225" s="8" t="str">
        <f>"2561408015113"</f>
        <v>2561408015113</v>
      </c>
      <c r="C8225" s="8" t="s">
        <v>14</v>
      </c>
      <c r="D8225" s="9">
        <v>0</v>
      </c>
      <c r="E8225" s="8">
        <v>251</v>
      </c>
    </row>
    <row r="8226" s="3" customFormat="1" ht="18.75" spans="1:5">
      <c r="A8226" s="8" t="str">
        <f t="shared" si="143"/>
        <v>250034</v>
      </c>
      <c r="B8226" s="8" t="str">
        <f>"2561408015121"</f>
        <v>2561408015121</v>
      </c>
      <c r="C8226" s="8" t="s">
        <v>14</v>
      </c>
      <c r="D8226" s="9">
        <v>0</v>
      </c>
      <c r="E8226" s="8">
        <v>251</v>
      </c>
    </row>
    <row r="8227" s="3" customFormat="1" ht="18.75" spans="1:5">
      <c r="A8227" s="8" t="str">
        <f t="shared" si="143"/>
        <v>250034</v>
      </c>
      <c r="B8227" s="8" t="str">
        <f>"2561408015123"</f>
        <v>2561408015123</v>
      </c>
      <c r="C8227" s="8" t="s">
        <v>14</v>
      </c>
      <c r="D8227" s="9">
        <v>0</v>
      </c>
      <c r="E8227" s="8">
        <v>251</v>
      </c>
    </row>
    <row r="8228" s="3" customFormat="1" ht="18.75" spans="1:5">
      <c r="A8228" s="8" t="str">
        <f t="shared" si="143"/>
        <v>250034</v>
      </c>
      <c r="B8228" s="8" t="str">
        <f>"2561408015128"</f>
        <v>2561408015128</v>
      </c>
      <c r="C8228" s="8" t="s">
        <v>14</v>
      </c>
      <c r="D8228" s="9">
        <v>0</v>
      </c>
      <c r="E8228" s="8">
        <v>251</v>
      </c>
    </row>
    <row r="8229" s="3" customFormat="1" ht="18.75" spans="1:5">
      <c r="A8229" s="8" t="str">
        <f t="shared" si="143"/>
        <v>250034</v>
      </c>
      <c r="B8229" s="8" t="str">
        <f>"2561408015130"</f>
        <v>2561408015130</v>
      </c>
      <c r="C8229" s="8" t="s">
        <v>14</v>
      </c>
      <c r="D8229" s="9">
        <v>0</v>
      </c>
      <c r="E8229" s="8">
        <v>251</v>
      </c>
    </row>
    <row r="8230" s="3" customFormat="1" ht="18.75" spans="1:5">
      <c r="A8230" s="8" t="str">
        <f t="shared" si="143"/>
        <v>250034</v>
      </c>
      <c r="B8230" s="8" t="str">
        <f>"2561408015202"</f>
        <v>2561408015202</v>
      </c>
      <c r="C8230" s="8" t="s">
        <v>14</v>
      </c>
      <c r="D8230" s="9">
        <v>0</v>
      </c>
      <c r="E8230" s="8">
        <v>251</v>
      </c>
    </row>
    <row r="8231" s="3" customFormat="1" ht="18.75" spans="1:5">
      <c r="A8231" s="8" t="str">
        <f t="shared" si="143"/>
        <v>250034</v>
      </c>
      <c r="B8231" s="8" t="str">
        <f>"2561408015205"</f>
        <v>2561408015205</v>
      </c>
      <c r="C8231" s="8" t="s">
        <v>14</v>
      </c>
      <c r="D8231" s="9">
        <v>0</v>
      </c>
      <c r="E8231" s="8">
        <v>251</v>
      </c>
    </row>
    <row r="8232" s="3" customFormat="1" ht="18.75" spans="1:5">
      <c r="A8232" s="8" t="str">
        <f t="shared" ref="A8232:A8295" si="144">"250035"</f>
        <v>250035</v>
      </c>
      <c r="B8232" s="8" t="str">
        <f>"2561409010804"</f>
        <v>2561409010804</v>
      </c>
      <c r="C8232" s="8" t="s">
        <v>15</v>
      </c>
      <c r="D8232" s="9">
        <v>74.56</v>
      </c>
      <c r="E8232" s="8">
        <v>1</v>
      </c>
    </row>
    <row r="8233" s="3" customFormat="1" ht="18.75" spans="1:5">
      <c r="A8233" s="8" t="str">
        <f t="shared" si="144"/>
        <v>250035</v>
      </c>
      <c r="B8233" s="8" t="str">
        <f>"2561409011320"</f>
        <v>2561409011320</v>
      </c>
      <c r="C8233" s="8" t="s">
        <v>15</v>
      </c>
      <c r="D8233" s="9">
        <v>71.77</v>
      </c>
      <c r="E8233" s="8">
        <v>2</v>
      </c>
    </row>
    <row r="8234" s="3" customFormat="1" ht="18.75" spans="1:5">
      <c r="A8234" s="8" t="str">
        <f t="shared" si="144"/>
        <v>250035</v>
      </c>
      <c r="B8234" s="8" t="str">
        <f>"2561409010630"</f>
        <v>2561409010630</v>
      </c>
      <c r="C8234" s="8" t="s">
        <v>15</v>
      </c>
      <c r="D8234" s="9">
        <v>71.31</v>
      </c>
      <c r="E8234" s="8">
        <v>3</v>
      </c>
    </row>
    <row r="8235" s="3" customFormat="1" ht="18.75" spans="1:5">
      <c r="A8235" s="8" t="str">
        <f t="shared" si="144"/>
        <v>250035</v>
      </c>
      <c r="B8235" s="8" t="str">
        <f>"2561409010109"</f>
        <v>2561409010109</v>
      </c>
      <c r="C8235" s="8" t="s">
        <v>15</v>
      </c>
      <c r="D8235" s="9">
        <v>70.02</v>
      </c>
      <c r="E8235" s="8">
        <v>4</v>
      </c>
    </row>
    <row r="8236" s="3" customFormat="1" ht="18.75" spans="1:5">
      <c r="A8236" s="8" t="str">
        <f t="shared" si="144"/>
        <v>250035</v>
      </c>
      <c r="B8236" s="8" t="str">
        <f>"2561409010402"</f>
        <v>2561409010402</v>
      </c>
      <c r="C8236" s="8" t="s">
        <v>15</v>
      </c>
      <c r="D8236" s="9">
        <v>69.81</v>
      </c>
      <c r="E8236" s="8">
        <v>5</v>
      </c>
    </row>
    <row r="8237" s="3" customFormat="1" ht="18.75" spans="1:5">
      <c r="A8237" s="8" t="str">
        <f t="shared" si="144"/>
        <v>250035</v>
      </c>
      <c r="B8237" s="8" t="str">
        <f>"2561409011127"</f>
        <v>2561409011127</v>
      </c>
      <c r="C8237" s="8" t="s">
        <v>15</v>
      </c>
      <c r="D8237" s="9">
        <v>68.67</v>
      </c>
      <c r="E8237" s="8">
        <v>6</v>
      </c>
    </row>
    <row r="8238" s="3" customFormat="1" ht="18.75" spans="1:5">
      <c r="A8238" s="8" t="str">
        <f t="shared" si="144"/>
        <v>250035</v>
      </c>
      <c r="B8238" s="8" t="str">
        <f>"2561409011420"</f>
        <v>2561409011420</v>
      </c>
      <c r="C8238" s="8" t="s">
        <v>15</v>
      </c>
      <c r="D8238" s="9">
        <v>67.71</v>
      </c>
      <c r="E8238" s="8">
        <v>7</v>
      </c>
    </row>
    <row r="8239" s="3" customFormat="1" ht="18.75" spans="1:5">
      <c r="A8239" s="8" t="str">
        <f t="shared" si="144"/>
        <v>250035</v>
      </c>
      <c r="B8239" s="8" t="str">
        <f>"2561409011201"</f>
        <v>2561409011201</v>
      </c>
      <c r="C8239" s="8" t="s">
        <v>15</v>
      </c>
      <c r="D8239" s="9">
        <v>67.29</v>
      </c>
      <c r="E8239" s="8">
        <v>8</v>
      </c>
    </row>
    <row r="8240" s="3" customFormat="1" ht="18.75" spans="1:5">
      <c r="A8240" s="8" t="str">
        <f t="shared" si="144"/>
        <v>250035</v>
      </c>
      <c r="B8240" s="8" t="str">
        <f>"2561409011602"</f>
        <v>2561409011602</v>
      </c>
      <c r="C8240" s="8" t="s">
        <v>15</v>
      </c>
      <c r="D8240" s="9">
        <v>67.29</v>
      </c>
      <c r="E8240" s="8">
        <v>8</v>
      </c>
    </row>
    <row r="8241" s="3" customFormat="1" ht="18.75" spans="1:5">
      <c r="A8241" s="8" t="str">
        <f t="shared" si="144"/>
        <v>250035</v>
      </c>
      <c r="B8241" s="8" t="str">
        <f>"2561409010322"</f>
        <v>2561409010322</v>
      </c>
      <c r="C8241" s="8" t="s">
        <v>15</v>
      </c>
      <c r="D8241" s="9">
        <v>67.12</v>
      </c>
      <c r="E8241" s="8">
        <v>10</v>
      </c>
    </row>
    <row r="8242" s="3" customFormat="1" ht="18.75" spans="1:5">
      <c r="A8242" s="8" t="str">
        <f t="shared" si="144"/>
        <v>250035</v>
      </c>
      <c r="B8242" s="8" t="str">
        <f>"2561409010420"</f>
        <v>2561409010420</v>
      </c>
      <c r="C8242" s="8" t="s">
        <v>15</v>
      </c>
      <c r="D8242" s="9">
        <v>67.04</v>
      </c>
      <c r="E8242" s="8">
        <v>11</v>
      </c>
    </row>
    <row r="8243" s="3" customFormat="1" ht="18.75" spans="1:5">
      <c r="A8243" s="8" t="str">
        <f t="shared" si="144"/>
        <v>250035</v>
      </c>
      <c r="B8243" s="8" t="str">
        <f>"2561409011430"</f>
        <v>2561409011430</v>
      </c>
      <c r="C8243" s="8" t="s">
        <v>15</v>
      </c>
      <c r="D8243" s="9">
        <v>66.76</v>
      </c>
      <c r="E8243" s="8">
        <v>12</v>
      </c>
    </row>
    <row r="8244" s="3" customFormat="1" ht="18.75" spans="1:5">
      <c r="A8244" s="8" t="str">
        <f t="shared" si="144"/>
        <v>250035</v>
      </c>
      <c r="B8244" s="8" t="str">
        <f>"2561409010706"</f>
        <v>2561409010706</v>
      </c>
      <c r="C8244" s="8" t="s">
        <v>15</v>
      </c>
      <c r="D8244" s="9">
        <v>66.46</v>
      </c>
      <c r="E8244" s="8">
        <v>13</v>
      </c>
    </row>
    <row r="8245" s="3" customFormat="1" ht="18.75" spans="1:5">
      <c r="A8245" s="8" t="str">
        <f t="shared" si="144"/>
        <v>250035</v>
      </c>
      <c r="B8245" s="8" t="str">
        <f>"2561409011503"</f>
        <v>2561409011503</v>
      </c>
      <c r="C8245" s="8" t="s">
        <v>15</v>
      </c>
      <c r="D8245" s="9">
        <v>66.2</v>
      </c>
      <c r="E8245" s="8">
        <v>14</v>
      </c>
    </row>
    <row r="8246" s="3" customFormat="1" ht="18.75" spans="1:5">
      <c r="A8246" s="8" t="str">
        <f t="shared" si="144"/>
        <v>250035</v>
      </c>
      <c r="B8246" s="8" t="str">
        <f>"2561409010301"</f>
        <v>2561409010301</v>
      </c>
      <c r="C8246" s="8" t="s">
        <v>15</v>
      </c>
      <c r="D8246" s="9">
        <v>66.11</v>
      </c>
      <c r="E8246" s="8">
        <v>15</v>
      </c>
    </row>
    <row r="8247" s="3" customFormat="1" ht="18.75" spans="1:5">
      <c r="A8247" s="8" t="str">
        <f t="shared" si="144"/>
        <v>250035</v>
      </c>
      <c r="B8247" s="8" t="str">
        <f>"2561409011528"</f>
        <v>2561409011528</v>
      </c>
      <c r="C8247" s="8" t="s">
        <v>15</v>
      </c>
      <c r="D8247" s="9">
        <v>65.9</v>
      </c>
      <c r="E8247" s="8">
        <v>16</v>
      </c>
    </row>
    <row r="8248" s="3" customFormat="1" ht="18.75" spans="1:5">
      <c r="A8248" s="8" t="str">
        <f t="shared" si="144"/>
        <v>250035</v>
      </c>
      <c r="B8248" s="8" t="str">
        <f>"2561409011111"</f>
        <v>2561409011111</v>
      </c>
      <c r="C8248" s="8" t="s">
        <v>15</v>
      </c>
      <c r="D8248" s="9">
        <v>65.82</v>
      </c>
      <c r="E8248" s="8">
        <v>17</v>
      </c>
    </row>
    <row r="8249" s="3" customFormat="1" ht="18.75" spans="1:5">
      <c r="A8249" s="8" t="str">
        <f t="shared" si="144"/>
        <v>250035</v>
      </c>
      <c r="B8249" s="8" t="str">
        <f>"2561409010618"</f>
        <v>2561409010618</v>
      </c>
      <c r="C8249" s="8" t="s">
        <v>15</v>
      </c>
      <c r="D8249" s="9">
        <v>65.44</v>
      </c>
      <c r="E8249" s="8">
        <v>18</v>
      </c>
    </row>
    <row r="8250" s="3" customFormat="1" ht="18.75" spans="1:5">
      <c r="A8250" s="8" t="str">
        <f t="shared" si="144"/>
        <v>250035</v>
      </c>
      <c r="B8250" s="8" t="str">
        <f>"2561409010412"</f>
        <v>2561409010412</v>
      </c>
      <c r="C8250" s="8" t="s">
        <v>15</v>
      </c>
      <c r="D8250" s="9">
        <v>65.4</v>
      </c>
      <c r="E8250" s="8">
        <v>19</v>
      </c>
    </row>
    <row r="8251" s="3" customFormat="1" ht="18.75" spans="1:5">
      <c r="A8251" s="8" t="str">
        <f t="shared" si="144"/>
        <v>250035</v>
      </c>
      <c r="B8251" s="8" t="str">
        <f>"2561409011219"</f>
        <v>2561409011219</v>
      </c>
      <c r="C8251" s="8" t="s">
        <v>15</v>
      </c>
      <c r="D8251" s="9">
        <v>65.36</v>
      </c>
      <c r="E8251" s="8">
        <v>20</v>
      </c>
    </row>
    <row r="8252" s="3" customFormat="1" ht="18.75" spans="1:5">
      <c r="A8252" s="8" t="str">
        <f t="shared" si="144"/>
        <v>250035</v>
      </c>
      <c r="B8252" s="8" t="str">
        <f>"2561409010606"</f>
        <v>2561409010606</v>
      </c>
      <c r="C8252" s="8" t="s">
        <v>15</v>
      </c>
      <c r="D8252" s="9">
        <v>65.2</v>
      </c>
      <c r="E8252" s="8">
        <v>21</v>
      </c>
    </row>
    <row r="8253" s="3" customFormat="1" ht="18.75" spans="1:5">
      <c r="A8253" s="8" t="str">
        <f t="shared" si="144"/>
        <v>250035</v>
      </c>
      <c r="B8253" s="8" t="str">
        <f>"2561409010803"</f>
        <v>2561409010803</v>
      </c>
      <c r="C8253" s="8" t="s">
        <v>15</v>
      </c>
      <c r="D8253" s="9">
        <v>65.2</v>
      </c>
      <c r="E8253" s="8">
        <v>21</v>
      </c>
    </row>
    <row r="8254" s="3" customFormat="1" ht="18.75" spans="1:5">
      <c r="A8254" s="8" t="str">
        <f t="shared" si="144"/>
        <v>250035</v>
      </c>
      <c r="B8254" s="8" t="str">
        <f>"2561409010619"</f>
        <v>2561409010619</v>
      </c>
      <c r="C8254" s="8" t="s">
        <v>15</v>
      </c>
      <c r="D8254" s="9">
        <v>65.13</v>
      </c>
      <c r="E8254" s="8">
        <v>23</v>
      </c>
    </row>
    <row r="8255" s="3" customFormat="1" ht="18.75" spans="1:5">
      <c r="A8255" s="8" t="str">
        <f t="shared" si="144"/>
        <v>250035</v>
      </c>
      <c r="B8255" s="8" t="str">
        <f>"2561409011124"</f>
        <v>2561409011124</v>
      </c>
      <c r="C8255" s="8" t="s">
        <v>15</v>
      </c>
      <c r="D8255" s="9">
        <v>65.11</v>
      </c>
      <c r="E8255" s="8">
        <v>24</v>
      </c>
    </row>
    <row r="8256" s="3" customFormat="1" ht="18.75" spans="1:5">
      <c r="A8256" s="8" t="str">
        <f t="shared" si="144"/>
        <v>250035</v>
      </c>
      <c r="B8256" s="8" t="str">
        <f>"2561409011016"</f>
        <v>2561409011016</v>
      </c>
      <c r="C8256" s="8" t="s">
        <v>15</v>
      </c>
      <c r="D8256" s="9">
        <v>65.08</v>
      </c>
      <c r="E8256" s="8">
        <v>25</v>
      </c>
    </row>
    <row r="8257" s="3" customFormat="1" ht="18.75" spans="1:5">
      <c r="A8257" s="8" t="str">
        <f t="shared" si="144"/>
        <v>250035</v>
      </c>
      <c r="B8257" s="8" t="str">
        <f>"2561409010529"</f>
        <v>2561409010529</v>
      </c>
      <c r="C8257" s="8" t="s">
        <v>15</v>
      </c>
      <c r="D8257" s="9">
        <v>64.97</v>
      </c>
      <c r="E8257" s="8">
        <v>26</v>
      </c>
    </row>
    <row r="8258" s="3" customFormat="1" ht="18.75" spans="1:5">
      <c r="A8258" s="8" t="str">
        <f t="shared" si="144"/>
        <v>250035</v>
      </c>
      <c r="B8258" s="8" t="str">
        <f>"2561409010722"</f>
        <v>2561409010722</v>
      </c>
      <c r="C8258" s="8" t="s">
        <v>15</v>
      </c>
      <c r="D8258" s="9">
        <v>64.97</v>
      </c>
      <c r="E8258" s="8">
        <v>26</v>
      </c>
    </row>
    <row r="8259" s="3" customFormat="1" ht="18.75" spans="1:5">
      <c r="A8259" s="8" t="str">
        <f t="shared" si="144"/>
        <v>250035</v>
      </c>
      <c r="B8259" s="8" t="str">
        <f>"2561409010501"</f>
        <v>2561409010501</v>
      </c>
      <c r="C8259" s="8" t="s">
        <v>15</v>
      </c>
      <c r="D8259" s="9">
        <v>64.85</v>
      </c>
      <c r="E8259" s="8">
        <v>28</v>
      </c>
    </row>
    <row r="8260" s="3" customFormat="1" ht="18.75" spans="1:5">
      <c r="A8260" s="8" t="str">
        <f t="shared" si="144"/>
        <v>250035</v>
      </c>
      <c r="B8260" s="8" t="str">
        <f>"2561409010103"</f>
        <v>2561409010103</v>
      </c>
      <c r="C8260" s="8" t="s">
        <v>15</v>
      </c>
      <c r="D8260" s="9">
        <v>64.66</v>
      </c>
      <c r="E8260" s="8">
        <v>29</v>
      </c>
    </row>
    <row r="8261" s="3" customFormat="1" ht="18.75" spans="1:5">
      <c r="A8261" s="8" t="str">
        <f t="shared" si="144"/>
        <v>250035</v>
      </c>
      <c r="B8261" s="8" t="str">
        <f>"2561409010921"</f>
        <v>2561409010921</v>
      </c>
      <c r="C8261" s="8" t="s">
        <v>15</v>
      </c>
      <c r="D8261" s="9">
        <v>64.59</v>
      </c>
      <c r="E8261" s="8">
        <v>30</v>
      </c>
    </row>
    <row r="8262" s="3" customFormat="1" ht="18.75" spans="1:5">
      <c r="A8262" s="8" t="str">
        <f t="shared" si="144"/>
        <v>250035</v>
      </c>
      <c r="B8262" s="8" t="str">
        <f>"2561409011009"</f>
        <v>2561409011009</v>
      </c>
      <c r="C8262" s="8" t="s">
        <v>15</v>
      </c>
      <c r="D8262" s="9">
        <v>64.22</v>
      </c>
      <c r="E8262" s="8">
        <v>31</v>
      </c>
    </row>
    <row r="8263" s="3" customFormat="1" ht="18.75" spans="1:5">
      <c r="A8263" s="8" t="str">
        <f t="shared" si="144"/>
        <v>250035</v>
      </c>
      <c r="B8263" s="8" t="str">
        <f>"2561409011422"</f>
        <v>2561409011422</v>
      </c>
      <c r="C8263" s="8" t="s">
        <v>15</v>
      </c>
      <c r="D8263" s="9">
        <v>64.18</v>
      </c>
      <c r="E8263" s="8">
        <v>32</v>
      </c>
    </row>
    <row r="8264" s="3" customFormat="1" ht="18.75" spans="1:5">
      <c r="A8264" s="8" t="str">
        <f t="shared" si="144"/>
        <v>250035</v>
      </c>
      <c r="B8264" s="8" t="str">
        <f>"2561409011126"</f>
        <v>2561409011126</v>
      </c>
      <c r="C8264" s="8" t="s">
        <v>15</v>
      </c>
      <c r="D8264" s="9">
        <v>64.1</v>
      </c>
      <c r="E8264" s="8">
        <v>33</v>
      </c>
    </row>
    <row r="8265" s="3" customFormat="1" ht="18.75" spans="1:5">
      <c r="A8265" s="8" t="str">
        <f t="shared" si="144"/>
        <v>250035</v>
      </c>
      <c r="B8265" s="8" t="str">
        <f>"2561409010228"</f>
        <v>2561409010228</v>
      </c>
      <c r="C8265" s="8" t="s">
        <v>15</v>
      </c>
      <c r="D8265" s="9">
        <v>63.95</v>
      </c>
      <c r="E8265" s="8">
        <v>34</v>
      </c>
    </row>
    <row r="8266" s="3" customFormat="1" ht="18.75" spans="1:5">
      <c r="A8266" s="8" t="str">
        <f t="shared" si="144"/>
        <v>250035</v>
      </c>
      <c r="B8266" s="8" t="str">
        <f>"2561409011604"</f>
        <v>2561409011604</v>
      </c>
      <c r="C8266" s="8" t="s">
        <v>15</v>
      </c>
      <c r="D8266" s="9">
        <v>63.81</v>
      </c>
      <c r="E8266" s="8">
        <v>35</v>
      </c>
    </row>
    <row r="8267" s="3" customFormat="1" ht="18.75" spans="1:5">
      <c r="A8267" s="8" t="str">
        <f t="shared" si="144"/>
        <v>250035</v>
      </c>
      <c r="B8267" s="8" t="str">
        <f>"2561409010809"</f>
        <v>2561409010809</v>
      </c>
      <c r="C8267" s="8" t="s">
        <v>15</v>
      </c>
      <c r="D8267" s="9">
        <v>63.62</v>
      </c>
      <c r="E8267" s="8">
        <v>36</v>
      </c>
    </row>
    <row r="8268" s="3" customFormat="1" ht="18.75" spans="1:5">
      <c r="A8268" s="8" t="str">
        <f t="shared" si="144"/>
        <v>250035</v>
      </c>
      <c r="B8268" s="8" t="str">
        <f>"2561409010626"</f>
        <v>2561409010626</v>
      </c>
      <c r="C8268" s="8" t="s">
        <v>15</v>
      </c>
      <c r="D8268" s="9">
        <v>63.43</v>
      </c>
      <c r="E8268" s="8">
        <v>37</v>
      </c>
    </row>
    <row r="8269" s="3" customFormat="1" ht="18.75" spans="1:5">
      <c r="A8269" s="8" t="str">
        <f t="shared" si="144"/>
        <v>250035</v>
      </c>
      <c r="B8269" s="8" t="str">
        <f>"2561409010128"</f>
        <v>2561409010128</v>
      </c>
      <c r="C8269" s="8" t="s">
        <v>15</v>
      </c>
      <c r="D8269" s="9">
        <v>63.34</v>
      </c>
      <c r="E8269" s="8">
        <v>38</v>
      </c>
    </row>
    <row r="8270" s="3" customFormat="1" ht="18.75" spans="1:5">
      <c r="A8270" s="8" t="str">
        <f t="shared" si="144"/>
        <v>250035</v>
      </c>
      <c r="B8270" s="8" t="str">
        <f>"2561409011501"</f>
        <v>2561409011501</v>
      </c>
      <c r="C8270" s="8" t="s">
        <v>15</v>
      </c>
      <c r="D8270" s="9">
        <v>63.29</v>
      </c>
      <c r="E8270" s="8">
        <v>39</v>
      </c>
    </row>
    <row r="8271" s="3" customFormat="1" ht="18.75" spans="1:5">
      <c r="A8271" s="8" t="str">
        <f t="shared" si="144"/>
        <v>250035</v>
      </c>
      <c r="B8271" s="8" t="str">
        <f>"2561409010429"</f>
        <v>2561409010429</v>
      </c>
      <c r="C8271" s="8" t="s">
        <v>15</v>
      </c>
      <c r="D8271" s="9">
        <v>63.18</v>
      </c>
      <c r="E8271" s="8">
        <v>40</v>
      </c>
    </row>
    <row r="8272" s="3" customFormat="1" ht="18.75" spans="1:5">
      <c r="A8272" s="8" t="str">
        <f t="shared" si="144"/>
        <v>250035</v>
      </c>
      <c r="B8272" s="8" t="str">
        <f>"2561409010808"</f>
        <v>2561409010808</v>
      </c>
      <c r="C8272" s="8" t="s">
        <v>15</v>
      </c>
      <c r="D8272" s="9">
        <v>63.17</v>
      </c>
      <c r="E8272" s="8">
        <v>41</v>
      </c>
    </row>
    <row r="8273" s="3" customFormat="1" ht="18.75" spans="1:5">
      <c r="A8273" s="8" t="str">
        <f t="shared" si="144"/>
        <v>250035</v>
      </c>
      <c r="B8273" s="8" t="str">
        <f>"2561409010821"</f>
        <v>2561409010821</v>
      </c>
      <c r="C8273" s="8" t="s">
        <v>15</v>
      </c>
      <c r="D8273" s="9">
        <v>62.95</v>
      </c>
      <c r="E8273" s="8">
        <v>42</v>
      </c>
    </row>
    <row r="8274" s="3" customFormat="1" ht="18.75" spans="1:5">
      <c r="A8274" s="8" t="str">
        <f t="shared" si="144"/>
        <v>250035</v>
      </c>
      <c r="B8274" s="8" t="str">
        <f>"2561409010801"</f>
        <v>2561409010801</v>
      </c>
      <c r="C8274" s="8" t="s">
        <v>15</v>
      </c>
      <c r="D8274" s="9">
        <v>62.75</v>
      </c>
      <c r="E8274" s="8">
        <v>43</v>
      </c>
    </row>
    <row r="8275" s="3" customFormat="1" ht="18.75" spans="1:5">
      <c r="A8275" s="8" t="str">
        <f t="shared" si="144"/>
        <v>250035</v>
      </c>
      <c r="B8275" s="8" t="str">
        <f>"2561409010102"</f>
        <v>2561409010102</v>
      </c>
      <c r="C8275" s="8" t="s">
        <v>15</v>
      </c>
      <c r="D8275" s="9">
        <v>62.74</v>
      </c>
      <c r="E8275" s="8">
        <v>44</v>
      </c>
    </row>
    <row r="8276" s="3" customFormat="1" ht="18.75" spans="1:5">
      <c r="A8276" s="8" t="str">
        <f t="shared" si="144"/>
        <v>250035</v>
      </c>
      <c r="B8276" s="8" t="str">
        <f>"2561409011507"</f>
        <v>2561409011507</v>
      </c>
      <c r="C8276" s="8" t="s">
        <v>15</v>
      </c>
      <c r="D8276" s="9">
        <v>62.72</v>
      </c>
      <c r="E8276" s="8">
        <v>45</v>
      </c>
    </row>
    <row r="8277" s="3" customFormat="1" ht="18.75" spans="1:5">
      <c r="A8277" s="8" t="str">
        <f t="shared" si="144"/>
        <v>250035</v>
      </c>
      <c r="B8277" s="8" t="str">
        <f>"2561409011718"</f>
        <v>2561409011718</v>
      </c>
      <c r="C8277" s="8" t="s">
        <v>15</v>
      </c>
      <c r="D8277" s="9">
        <v>62.66</v>
      </c>
      <c r="E8277" s="8">
        <v>46</v>
      </c>
    </row>
    <row r="8278" s="3" customFormat="1" ht="18.75" spans="1:5">
      <c r="A8278" s="8" t="str">
        <f t="shared" si="144"/>
        <v>250035</v>
      </c>
      <c r="B8278" s="8" t="str">
        <f>"2561409011417"</f>
        <v>2561409011417</v>
      </c>
      <c r="C8278" s="8" t="s">
        <v>15</v>
      </c>
      <c r="D8278" s="9">
        <v>62.59</v>
      </c>
      <c r="E8278" s="8">
        <v>47</v>
      </c>
    </row>
    <row r="8279" s="3" customFormat="1" ht="18.75" spans="1:5">
      <c r="A8279" s="8" t="str">
        <f t="shared" si="144"/>
        <v>250035</v>
      </c>
      <c r="B8279" s="8" t="str">
        <f>"2561409010812"</f>
        <v>2561409010812</v>
      </c>
      <c r="C8279" s="8" t="s">
        <v>15</v>
      </c>
      <c r="D8279" s="9">
        <v>62.39</v>
      </c>
      <c r="E8279" s="8">
        <v>48</v>
      </c>
    </row>
    <row r="8280" s="3" customFormat="1" ht="18.75" spans="1:5">
      <c r="A8280" s="8" t="str">
        <f t="shared" si="144"/>
        <v>250035</v>
      </c>
      <c r="B8280" s="8" t="str">
        <f>"2561409011607"</f>
        <v>2561409011607</v>
      </c>
      <c r="C8280" s="8" t="s">
        <v>15</v>
      </c>
      <c r="D8280" s="9">
        <v>62.37</v>
      </c>
      <c r="E8280" s="8">
        <v>49</v>
      </c>
    </row>
    <row r="8281" s="3" customFormat="1" ht="18.75" spans="1:5">
      <c r="A8281" s="8" t="str">
        <f t="shared" si="144"/>
        <v>250035</v>
      </c>
      <c r="B8281" s="8" t="str">
        <f>"2561409010712"</f>
        <v>2561409010712</v>
      </c>
      <c r="C8281" s="8" t="s">
        <v>15</v>
      </c>
      <c r="D8281" s="9">
        <v>62.26</v>
      </c>
      <c r="E8281" s="8">
        <v>50</v>
      </c>
    </row>
    <row r="8282" s="3" customFormat="1" ht="18.75" spans="1:5">
      <c r="A8282" s="8" t="str">
        <f t="shared" si="144"/>
        <v>250035</v>
      </c>
      <c r="B8282" s="8" t="str">
        <f>"2561409010727"</f>
        <v>2561409010727</v>
      </c>
      <c r="C8282" s="8" t="s">
        <v>15</v>
      </c>
      <c r="D8282" s="9">
        <v>62.05</v>
      </c>
      <c r="E8282" s="8">
        <v>51</v>
      </c>
    </row>
    <row r="8283" s="3" customFormat="1" ht="18.75" spans="1:5">
      <c r="A8283" s="8" t="str">
        <f t="shared" si="144"/>
        <v>250035</v>
      </c>
      <c r="B8283" s="8" t="str">
        <f>"2561409011504"</f>
        <v>2561409011504</v>
      </c>
      <c r="C8283" s="8" t="s">
        <v>15</v>
      </c>
      <c r="D8283" s="9">
        <v>61.92</v>
      </c>
      <c r="E8283" s="8">
        <v>52</v>
      </c>
    </row>
    <row r="8284" s="3" customFormat="1" ht="18.75" spans="1:5">
      <c r="A8284" s="8" t="str">
        <f t="shared" si="144"/>
        <v>250035</v>
      </c>
      <c r="B8284" s="8" t="str">
        <f>"2561409011122"</f>
        <v>2561409011122</v>
      </c>
      <c r="C8284" s="8" t="s">
        <v>15</v>
      </c>
      <c r="D8284" s="9">
        <v>61.87</v>
      </c>
      <c r="E8284" s="8">
        <v>53</v>
      </c>
    </row>
    <row r="8285" s="3" customFormat="1" ht="18.75" spans="1:5">
      <c r="A8285" s="8" t="str">
        <f t="shared" si="144"/>
        <v>250035</v>
      </c>
      <c r="B8285" s="8" t="str">
        <f>"2561409011003"</f>
        <v>2561409011003</v>
      </c>
      <c r="C8285" s="8" t="s">
        <v>15</v>
      </c>
      <c r="D8285" s="9">
        <v>61.85</v>
      </c>
      <c r="E8285" s="8">
        <v>54</v>
      </c>
    </row>
    <row r="8286" s="3" customFormat="1" ht="18.75" spans="1:5">
      <c r="A8286" s="8" t="str">
        <f t="shared" si="144"/>
        <v>250035</v>
      </c>
      <c r="B8286" s="8" t="str">
        <f>"2561409010221"</f>
        <v>2561409010221</v>
      </c>
      <c r="C8286" s="8" t="s">
        <v>15</v>
      </c>
      <c r="D8286" s="9">
        <v>61.77</v>
      </c>
      <c r="E8286" s="8">
        <v>55</v>
      </c>
    </row>
    <row r="8287" s="3" customFormat="1" ht="18.75" spans="1:5">
      <c r="A8287" s="8" t="str">
        <f t="shared" si="144"/>
        <v>250035</v>
      </c>
      <c r="B8287" s="8" t="str">
        <f>"2561409011125"</f>
        <v>2561409011125</v>
      </c>
      <c r="C8287" s="8" t="s">
        <v>15</v>
      </c>
      <c r="D8287" s="9">
        <v>61.76</v>
      </c>
      <c r="E8287" s="8">
        <v>56</v>
      </c>
    </row>
    <row r="8288" s="3" customFormat="1" ht="18.75" spans="1:5">
      <c r="A8288" s="8" t="str">
        <f t="shared" si="144"/>
        <v>250035</v>
      </c>
      <c r="B8288" s="8" t="str">
        <f>"2561409010723"</f>
        <v>2561409010723</v>
      </c>
      <c r="C8288" s="8" t="s">
        <v>15</v>
      </c>
      <c r="D8288" s="9">
        <v>61.74</v>
      </c>
      <c r="E8288" s="8">
        <v>57</v>
      </c>
    </row>
    <row r="8289" s="3" customFormat="1" ht="18.75" spans="1:5">
      <c r="A8289" s="8" t="str">
        <f t="shared" si="144"/>
        <v>250035</v>
      </c>
      <c r="B8289" s="8" t="str">
        <f>"2561409010623"</f>
        <v>2561409010623</v>
      </c>
      <c r="C8289" s="8" t="s">
        <v>15</v>
      </c>
      <c r="D8289" s="9">
        <v>61.71</v>
      </c>
      <c r="E8289" s="8">
        <v>58</v>
      </c>
    </row>
    <row r="8290" s="3" customFormat="1" ht="18.75" spans="1:5">
      <c r="A8290" s="8" t="str">
        <f t="shared" si="144"/>
        <v>250035</v>
      </c>
      <c r="B8290" s="8" t="str">
        <f>"2561409011622"</f>
        <v>2561409011622</v>
      </c>
      <c r="C8290" s="8" t="s">
        <v>15</v>
      </c>
      <c r="D8290" s="9">
        <v>61.61</v>
      </c>
      <c r="E8290" s="8">
        <v>59</v>
      </c>
    </row>
    <row r="8291" s="3" customFormat="1" ht="18.75" spans="1:5">
      <c r="A8291" s="8" t="str">
        <f t="shared" si="144"/>
        <v>250035</v>
      </c>
      <c r="B8291" s="8" t="str">
        <f>"2561409010923"</f>
        <v>2561409010923</v>
      </c>
      <c r="C8291" s="8" t="s">
        <v>15</v>
      </c>
      <c r="D8291" s="9">
        <v>61.6</v>
      </c>
      <c r="E8291" s="8">
        <v>60</v>
      </c>
    </row>
    <row r="8292" s="3" customFormat="1" ht="18.75" spans="1:5">
      <c r="A8292" s="8" t="str">
        <f t="shared" si="144"/>
        <v>250035</v>
      </c>
      <c r="B8292" s="8" t="str">
        <f>"2561409010725"</f>
        <v>2561409010725</v>
      </c>
      <c r="C8292" s="8" t="s">
        <v>15</v>
      </c>
      <c r="D8292" s="9">
        <v>61.44</v>
      </c>
      <c r="E8292" s="8">
        <v>61</v>
      </c>
    </row>
    <row r="8293" s="3" customFormat="1" ht="18.75" spans="1:5">
      <c r="A8293" s="8" t="str">
        <f t="shared" si="144"/>
        <v>250035</v>
      </c>
      <c r="B8293" s="8" t="str">
        <f>"2561409011004"</f>
        <v>2561409011004</v>
      </c>
      <c r="C8293" s="8" t="s">
        <v>15</v>
      </c>
      <c r="D8293" s="9">
        <v>61.43</v>
      </c>
      <c r="E8293" s="8">
        <v>62</v>
      </c>
    </row>
    <row r="8294" s="3" customFormat="1" ht="18.75" spans="1:5">
      <c r="A8294" s="8" t="str">
        <f t="shared" si="144"/>
        <v>250035</v>
      </c>
      <c r="B8294" s="8" t="str">
        <f>"2561409011206"</f>
        <v>2561409011206</v>
      </c>
      <c r="C8294" s="8" t="s">
        <v>15</v>
      </c>
      <c r="D8294" s="9">
        <v>61.41</v>
      </c>
      <c r="E8294" s="8">
        <v>63</v>
      </c>
    </row>
    <row r="8295" s="3" customFormat="1" ht="18.75" spans="1:5">
      <c r="A8295" s="8" t="str">
        <f t="shared" si="144"/>
        <v>250035</v>
      </c>
      <c r="B8295" s="8" t="str">
        <f>"2561409010709"</f>
        <v>2561409010709</v>
      </c>
      <c r="C8295" s="8" t="s">
        <v>15</v>
      </c>
      <c r="D8295" s="9">
        <v>61.4</v>
      </c>
      <c r="E8295" s="8">
        <v>64</v>
      </c>
    </row>
    <row r="8296" s="3" customFormat="1" ht="18.75" spans="1:5">
      <c r="A8296" s="8" t="str">
        <f t="shared" ref="A8296:A8359" si="145">"250035"</f>
        <v>250035</v>
      </c>
      <c r="B8296" s="8" t="str">
        <f>"2561409010413"</f>
        <v>2561409010413</v>
      </c>
      <c r="C8296" s="8" t="s">
        <v>15</v>
      </c>
      <c r="D8296" s="9">
        <v>61.23</v>
      </c>
      <c r="E8296" s="8">
        <v>65</v>
      </c>
    </row>
    <row r="8297" s="3" customFormat="1" ht="18.75" spans="1:5">
      <c r="A8297" s="8" t="str">
        <f t="shared" si="145"/>
        <v>250035</v>
      </c>
      <c r="B8297" s="8" t="str">
        <f>"2561409011025"</f>
        <v>2561409011025</v>
      </c>
      <c r="C8297" s="8" t="s">
        <v>15</v>
      </c>
      <c r="D8297" s="9">
        <v>61.09</v>
      </c>
      <c r="E8297" s="8">
        <v>66</v>
      </c>
    </row>
    <row r="8298" s="3" customFormat="1" ht="18.75" spans="1:5">
      <c r="A8298" s="8" t="str">
        <f t="shared" si="145"/>
        <v>250035</v>
      </c>
      <c r="B8298" s="8" t="str">
        <f>"2561409011605"</f>
        <v>2561409011605</v>
      </c>
      <c r="C8298" s="8" t="s">
        <v>15</v>
      </c>
      <c r="D8298" s="9">
        <v>61.07</v>
      </c>
      <c r="E8298" s="8">
        <v>67</v>
      </c>
    </row>
    <row r="8299" s="3" customFormat="1" ht="18.75" spans="1:5">
      <c r="A8299" s="8" t="str">
        <f t="shared" si="145"/>
        <v>250035</v>
      </c>
      <c r="B8299" s="8" t="str">
        <f>"2561409010702"</f>
        <v>2561409010702</v>
      </c>
      <c r="C8299" s="8" t="s">
        <v>15</v>
      </c>
      <c r="D8299" s="9">
        <v>61.03</v>
      </c>
      <c r="E8299" s="8">
        <v>68</v>
      </c>
    </row>
    <row r="8300" s="3" customFormat="1" ht="18.75" spans="1:5">
      <c r="A8300" s="8" t="str">
        <f t="shared" si="145"/>
        <v>250035</v>
      </c>
      <c r="B8300" s="8" t="str">
        <f>"2561409011023"</f>
        <v>2561409011023</v>
      </c>
      <c r="C8300" s="8" t="s">
        <v>15</v>
      </c>
      <c r="D8300" s="9">
        <v>60.93</v>
      </c>
      <c r="E8300" s="8">
        <v>69</v>
      </c>
    </row>
    <row r="8301" s="3" customFormat="1" ht="18.75" spans="1:5">
      <c r="A8301" s="8" t="str">
        <f t="shared" si="145"/>
        <v>250035</v>
      </c>
      <c r="B8301" s="8" t="str">
        <f>"2561409011603"</f>
        <v>2561409011603</v>
      </c>
      <c r="C8301" s="8" t="s">
        <v>15</v>
      </c>
      <c r="D8301" s="9">
        <v>60.85</v>
      </c>
      <c r="E8301" s="8">
        <v>70</v>
      </c>
    </row>
    <row r="8302" s="3" customFormat="1" ht="18.75" spans="1:5">
      <c r="A8302" s="8" t="str">
        <f t="shared" si="145"/>
        <v>250035</v>
      </c>
      <c r="B8302" s="8" t="str">
        <f>"2561409011212"</f>
        <v>2561409011212</v>
      </c>
      <c r="C8302" s="8" t="s">
        <v>15</v>
      </c>
      <c r="D8302" s="9">
        <v>60.76</v>
      </c>
      <c r="E8302" s="8">
        <v>71</v>
      </c>
    </row>
    <row r="8303" s="3" customFormat="1" ht="18.75" spans="1:5">
      <c r="A8303" s="8" t="str">
        <f t="shared" si="145"/>
        <v>250035</v>
      </c>
      <c r="B8303" s="8" t="str">
        <f>"2561409011301"</f>
        <v>2561409011301</v>
      </c>
      <c r="C8303" s="8" t="s">
        <v>15</v>
      </c>
      <c r="D8303" s="9">
        <v>60.76</v>
      </c>
      <c r="E8303" s="8">
        <v>71</v>
      </c>
    </row>
    <row r="8304" s="3" customFormat="1" ht="18.75" spans="1:5">
      <c r="A8304" s="8" t="str">
        <f t="shared" si="145"/>
        <v>250035</v>
      </c>
      <c r="B8304" s="8" t="str">
        <f>"2561409011511"</f>
        <v>2561409011511</v>
      </c>
      <c r="C8304" s="8" t="s">
        <v>15</v>
      </c>
      <c r="D8304" s="9">
        <v>60.68</v>
      </c>
      <c r="E8304" s="8">
        <v>73</v>
      </c>
    </row>
    <row r="8305" s="3" customFormat="1" ht="18.75" spans="1:5">
      <c r="A8305" s="8" t="str">
        <f t="shared" si="145"/>
        <v>250035</v>
      </c>
      <c r="B8305" s="8" t="str">
        <f>"2561409010910"</f>
        <v>2561409010910</v>
      </c>
      <c r="C8305" s="8" t="s">
        <v>15</v>
      </c>
      <c r="D8305" s="9">
        <v>60.61</v>
      </c>
      <c r="E8305" s="8">
        <v>74</v>
      </c>
    </row>
    <row r="8306" s="3" customFormat="1" ht="18.75" spans="1:5">
      <c r="A8306" s="8" t="str">
        <f t="shared" si="145"/>
        <v>250035</v>
      </c>
      <c r="B8306" s="8" t="str">
        <f>"2561409011629"</f>
        <v>2561409011629</v>
      </c>
      <c r="C8306" s="8" t="s">
        <v>15</v>
      </c>
      <c r="D8306" s="9">
        <v>60.48</v>
      </c>
      <c r="E8306" s="8">
        <v>75</v>
      </c>
    </row>
    <row r="8307" s="3" customFormat="1" ht="18.75" spans="1:5">
      <c r="A8307" s="8" t="str">
        <f t="shared" si="145"/>
        <v>250035</v>
      </c>
      <c r="B8307" s="8" t="str">
        <f>"2561409010528"</f>
        <v>2561409010528</v>
      </c>
      <c r="C8307" s="8" t="s">
        <v>15</v>
      </c>
      <c r="D8307" s="9">
        <v>60.47</v>
      </c>
      <c r="E8307" s="8">
        <v>76</v>
      </c>
    </row>
    <row r="8308" s="3" customFormat="1" ht="18.75" spans="1:5">
      <c r="A8308" s="8" t="str">
        <f t="shared" si="145"/>
        <v>250035</v>
      </c>
      <c r="B8308" s="8" t="str">
        <f>"2561409011002"</f>
        <v>2561409011002</v>
      </c>
      <c r="C8308" s="8" t="s">
        <v>15</v>
      </c>
      <c r="D8308" s="9">
        <v>60.44</v>
      </c>
      <c r="E8308" s="8">
        <v>77</v>
      </c>
    </row>
    <row r="8309" s="3" customFormat="1" ht="18.75" spans="1:5">
      <c r="A8309" s="8" t="str">
        <f t="shared" si="145"/>
        <v>250035</v>
      </c>
      <c r="B8309" s="8" t="str">
        <f>"2561409010825"</f>
        <v>2561409010825</v>
      </c>
      <c r="C8309" s="8" t="s">
        <v>15</v>
      </c>
      <c r="D8309" s="9">
        <v>60.39</v>
      </c>
      <c r="E8309" s="8">
        <v>78</v>
      </c>
    </row>
    <row r="8310" s="3" customFormat="1" ht="18.75" spans="1:5">
      <c r="A8310" s="8" t="str">
        <f t="shared" si="145"/>
        <v>250035</v>
      </c>
      <c r="B8310" s="8" t="str">
        <f>"2561409010205"</f>
        <v>2561409010205</v>
      </c>
      <c r="C8310" s="8" t="s">
        <v>15</v>
      </c>
      <c r="D8310" s="9">
        <v>60.29</v>
      </c>
      <c r="E8310" s="8">
        <v>79</v>
      </c>
    </row>
    <row r="8311" s="3" customFormat="1" ht="18.75" spans="1:5">
      <c r="A8311" s="8" t="str">
        <f t="shared" si="145"/>
        <v>250035</v>
      </c>
      <c r="B8311" s="8" t="str">
        <f>"2561409010125"</f>
        <v>2561409010125</v>
      </c>
      <c r="C8311" s="8" t="s">
        <v>15</v>
      </c>
      <c r="D8311" s="9">
        <v>60.22</v>
      </c>
      <c r="E8311" s="8">
        <v>80</v>
      </c>
    </row>
    <row r="8312" s="3" customFormat="1" ht="18.75" spans="1:5">
      <c r="A8312" s="8" t="str">
        <f t="shared" si="145"/>
        <v>250035</v>
      </c>
      <c r="B8312" s="8" t="str">
        <f>"2561409010116"</f>
        <v>2561409010116</v>
      </c>
      <c r="C8312" s="8" t="s">
        <v>15</v>
      </c>
      <c r="D8312" s="9">
        <v>60.21</v>
      </c>
      <c r="E8312" s="8">
        <v>81</v>
      </c>
    </row>
    <row r="8313" s="3" customFormat="1" ht="18.75" spans="1:5">
      <c r="A8313" s="8" t="str">
        <f t="shared" si="145"/>
        <v>250035</v>
      </c>
      <c r="B8313" s="8" t="str">
        <f>"2561409010321"</f>
        <v>2561409010321</v>
      </c>
      <c r="C8313" s="8" t="s">
        <v>15</v>
      </c>
      <c r="D8313" s="9">
        <v>60.19</v>
      </c>
      <c r="E8313" s="8">
        <v>82</v>
      </c>
    </row>
    <row r="8314" s="3" customFormat="1" ht="18.75" spans="1:5">
      <c r="A8314" s="8" t="str">
        <f t="shared" si="145"/>
        <v>250035</v>
      </c>
      <c r="B8314" s="8" t="str">
        <f>"2561409011411"</f>
        <v>2561409011411</v>
      </c>
      <c r="C8314" s="8" t="s">
        <v>15</v>
      </c>
      <c r="D8314" s="9">
        <v>60.08</v>
      </c>
      <c r="E8314" s="8">
        <v>83</v>
      </c>
    </row>
    <row r="8315" s="3" customFormat="1" ht="18.75" spans="1:5">
      <c r="A8315" s="8" t="str">
        <f t="shared" si="145"/>
        <v>250035</v>
      </c>
      <c r="B8315" s="8" t="str">
        <f>"2561409010320"</f>
        <v>2561409010320</v>
      </c>
      <c r="C8315" s="8" t="s">
        <v>15</v>
      </c>
      <c r="D8315" s="9">
        <v>60.01</v>
      </c>
      <c r="E8315" s="8">
        <v>84</v>
      </c>
    </row>
    <row r="8316" s="3" customFormat="1" ht="18.75" spans="1:5">
      <c r="A8316" s="8" t="str">
        <f t="shared" si="145"/>
        <v>250035</v>
      </c>
      <c r="B8316" s="8" t="str">
        <f>"2561409010703"</f>
        <v>2561409010703</v>
      </c>
      <c r="C8316" s="8" t="s">
        <v>15</v>
      </c>
      <c r="D8316" s="9">
        <v>59.95</v>
      </c>
      <c r="E8316" s="8">
        <v>85</v>
      </c>
    </row>
    <row r="8317" s="3" customFormat="1" ht="18.75" spans="1:5">
      <c r="A8317" s="8" t="str">
        <f t="shared" si="145"/>
        <v>250035</v>
      </c>
      <c r="B8317" s="8" t="str">
        <f>"2561409010602"</f>
        <v>2561409010602</v>
      </c>
      <c r="C8317" s="8" t="s">
        <v>15</v>
      </c>
      <c r="D8317" s="9">
        <v>59.84</v>
      </c>
      <c r="E8317" s="8">
        <v>86</v>
      </c>
    </row>
    <row r="8318" s="3" customFormat="1" ht="18.75" spans="1:5">
      <c r="A8318" s="8" t="str">
        <f t="shared" si="145"/>
        <v>250035</v>
      </c>
      <c r="B8318" s="8" t="str">
        <f>"2561409011327"</f>
        <v>2561409011327</v>
      </c>
      <c r="C8318" s="8" t="s">
        <v>15</v>
      </c>
      <c r="D8318" s="9">
        <v>59.8</v>
      </c>
      <c r="E8318" s="8">
        <v>87</v>
      </c>
    </row>
    <row r="8319" s="3" customFormat="1" ht="18.75" spans="1:5">
      <c r="A8319" s="8" t="str">
        <f t="shared" si="145"/>
        <v>250035</v>
      </c>
      <c r="B8319" s="8" t="str">
        <f>"2561409010906"</f>
        <v>2561409010906</v>
      </c>
      <c r="C8319" s="8" t="s">
        <v>15</v>
      </c>
      <c r="D8319" s="9">
        <v>59.71</v>
      </c>
      <c r="E8319" s="8">
        <v>88</v>
      </c>
    </row>
    <row r="8320" s="3" customFormat="1" ht="18.75" spans="1:5">
      <c r="A8320" s="8" t="str">
        <f t="shared" si="145"/>
        <v>250035</v>
      </c>
      <c r="B8320" s="8" t="str">
        <f>"2561409011205"</f>
        <v>2561409011205</v>
      </c>
      <c r="C8320" s="8" t="s">
        <v>15</v>
      </c>
      <c r="D8320" s="9">
        <v>59.67</v>
      </c>
      <c r="E8320" s="8">
        <v>89</v>
      </c>
    </row>
    <row r="8321" s="3" customFormat="1" ht="18.75" spans="1:5">
      <c r="A8321" s="8" t="str">
        <f t="shared" si="145"/>
        <v>250035</v>
      </c>
      <c r="B8321" s="8" t="str">
        <f>"2561409010223"</f>
        <v>2561409010223</v>
      </c>
      <c r="C8321" s="8" t="s">
        <v>15</v>
      </c>
      <c r="D8321" s="9">
        <v>59.61</v>
      </c>
      <c r="E8321" s="8">
        <v>90</v>
      </c>
    </row>
    <row r="8322" s="3" customFormat="1" ht="18.75" spans="1:5">
      <c r="A8322" s="8" t="str">
        <f t="shared" si="145"/>
        <v>250035</v>
      </c>
      <c r="B8322" s="8" t="str">
        <f>"2561409010714"</f>
        <v>2561409010714</v>
      </c>
      <c r="C8322" s="8" t="s">
        <v>15</v>
      </c>
      <c r="D8322" s="9">
        <v>59.54</v>
      </c>
      <c r="E8322" s="8">
        <v>91</v>
      </c>
    </row>
    <row r="8323" s="3" customFormat="1" ht="18.75" spans="1:5">
      <c r="A8323" s="8" t="str">
        <f t="shared" si="145"/>
        <v>250035</v>
      </c>
      <c r="B8323" s="8" t="str">
        <f>"2561409011208"</f>
        <v>2561409011208</v>
      </c>
      <c r="C8323" s="8" t="s">
        <v>15</v>
      </c>
      <c r="D8323" s="9">
        <v>59.49</v>
      </c>
      <c r="E8323" s="8">
        <v>92</v>
      </c>
    </row>
    <row r="8324" s="3" customFormat="1" ht="18.75" spans="1:5">
      <c r="A8324" s="8" t="str">
        <f t="shared" si="145"/>
        <v>250035</v>
      </c>
      <c r="B8324" s="8" t="str">
        <f>"2561409011129"</f>
        <v>2561409011129</v>
      </c>
      <c r="C8324" s="8" t="s">
        <v>15</v>
      </c>
      <c r="D8324" s="9">
        <v>59.47</v>
      </c>
      <c r="E8324" s="8">
        <v>93</v>
      </c>
    </row>
    <row r="8325" s="3" customFormat="1" ht="18.75" spans="1:5">
      <c r="A8325" s="8" t="str">
        <f t="shared" si="145"/>
        <v>250035</v>
      </c>
      <c r="B8325" s="8" t="str">
        <f>"2561409011518"</f>
        <v>2561409011518</v>
      </c>
      <c r="C8325" s="8" t="s">
        <v>15</v>
      </c>
      <c r="D8325" s="9">
        <v>59.42</v>
      </c>
      <c r="E8325" s="8">
        <v>94</v>
      </c>
    </row>
    <row r="8326" s="3" customFormat="1" ht="18.75" spans="1:5">
      <c r="A8326" s="8" t="str">
        <f t="shared" si="145"/>
        <v>250035</v>
      </c>
      <c r="B8326" s="8" t="str">
        <f>"2561409010726"</f>
        <v>2561409010726</v>
      </c>
      <c r="C8326" s="8" t="s">
        <v>15</v>
      </c>
      <c r="D8326" s="9">
        <v>59.29</v>
      </c>
      <c r="E8326" s="8">
        <v>95</v>
      </c>
    </row>
    <row r="8327" s="3" customFormat="1" ht="18.75" spans="1:5">
      <c r="A8327" s="8" t="str">
        <f t="shared" si="145"/>
        <v>250035</v>
      </c>
      <c r="B8327" s="8" t="str">
        <f>"2561409011608"</f>
        <v>2561409011608</v>
      </c>
      <c r="C8327" s="8" t="s">
        <v>15</v>
      </c>
      <c r="D8327" s="9">
        <v>59.23</v>
      </c>
      <c r="E8327" s="8">
        <v>96</v>
      </c>
    </row>
    <row r="8328" s="3" customFormat="1" ht="18.75" spans="1:5">
      <c r="A8328" s="8" t="str">
        <f t="shared" si="145"/>
        <v>250035</v>
      </c>
      <c r="B8328" s="8" t="str">
        <f>"2561409010512"</f>
        <v>2561409010512</v>
      </c>
      <c r="C8328" s="8" t="s">
        <v>15</v>
      </c>
      <c r="D8328" s="9">
        <v>59.08</v>
      </c>
      <c r="E8328" s="8">
        <v>97</v>
      </c>
    </row>
    <row r="8329" s="3" customFormat="1" ht="18.75" spans="1:5">
      <c r="A8329" s="8" t="str">
        <f t="shared" si="145"/>
        <v>250035</v>
      </c>
      <c r="B8329" s="8" t="str">
        <f>"2561409010115"</f>
        <v>2561409010115</v>
      </c>
      <c r="C8329" s="8" t="s">
        <v>15</v>
      </c>
      <c r="D8329" s="9">
        <v>59.07</v>
      </c>
      <c r="E8329" s="8">
        <v>98</v>
      </c>
    </row>
    <row r="8330" s="3" customFormat="1" ht="18.75" spans="1:5">
      <c r="A8330" s="8" t="str">
        <f t="shared" si="145"/>
        <v>250035</v>
      </c>
      <c r="B8330" s="8" t="str">
        <f>"2561409011221"</f>
        <v>2561409011221</v>
      </c>
      <c r="C8330" s="8" t="s">
        <v>15</v>
      </c>
      <c r="D8330" s="9">
        <v>58.94</v>
      </c>
      <c r="E8330" s="8">
        <v>99</v>
      </c>
    </row>
    <row r="8331" s="3" customFormat="1" ht="18.75" spans="1:5">
      <c r="A8331" s="8" t="str">
        <f t="shared" si="145"/>
        <v>250035</v>
      </c>
      <c r="B8331" s="8" t="str">
        <f>"2561409010524"</f>
        <v>2561409010524</v>
      </c>
      <c r="C8331" s="8" t="s">
        <v>15</v>
      </c>
      <c r="D8331" s="9">
        <v>58.85</v>
      </c>
      <c r="E8331" s="8">
        <v>100</v>
      </c>
    </row>
    <row r="8332" s="3" customFormat="1" ht="18.75" spans="1:5">
      <c r="A8332" s="8" t="str">
        <f t="shared" si="145"/>
        <v>250035</v>
      </c>
      <c r="B8332" s="8" t="str">
        <f>"2561409010811"</f>
        <v>2561409010811</v>
      </c>
      <c r="C8332" s="8" t="s">
        <v>15</v>
      </c>
      <c r="D8332" s="9">
        <v>58.83</v>
      </c>
      <c r="E8332" s="8">
        <v>101</v>
      </c>
    </row>
    <row r="8333" s="3" customFormat="1" ht="18.75" spans="1:5">
      <c r="A8333" s="8" t="str">
        <f t="shared" si="145"/>
        <v>250035</v>
      </c>
      <c r="B8333" s="8" t="str">
        <f>"2561409010830"</f>
        <v>2561409010830</v>
      </c>
      <c r="C8333" s="8" t="s">
        <v>15</v>
      </c>
      <c r="D8333" s="9">
        <v>58.82</v>
      </c>
      <c r="E8333" s="8">
        <v>102</v>
      </c>
    </row>
    <row r="8334" s="3" customFormat="1" ht="18.75" spans="1:5">
      <c r="A8334" s="8" t="str">
        <f t="shared" si="145"/>
        <v>250035</v>
      </c>
      <c r="B8334" s="8" t="str">
        <f>"2561409011117"</f>
        <v>2561409011117</v>
      </c>
      <c r="C8334" s="8" t="s">
        <v>15</v>
      </c>
      <c r="D8334" s="9">
        <v>58.8</v>
      </c>
      <c r="E8334" s="8">
        <v>103</v>
      </c>
    </row>
    <row r="8335" s="3" customFormat="1" ht="18.75" spans="1:5">
      <c r="A8335" s="8" t="str">
        <f t="shared" si="145"/>
        <v>250035</v>
      </c>
      <c r="B8335" s="8" t="str">
        <f>"2561409011527"</f>
        <v>2561409011527</v>
      </c>
      <c r="C8335" s="8" t="s">
        <v>15</v>
      </c>
      <c r="D8335" s="9">
        <v>58.77</v>
      </c>
      <c r="E8335" s="8">
        <v>104</v>
      </c>
    </row>
    <row r="8336" s="3" customFormat="1" ht="18.75" spans="1:5">
      <c r="A8336" s="8" t="str">
        <f t="shared" si="145"/>
        <v>250035</v>
      </c>
      <c r="B8336" s="8" t="str">
        <f>"2561409010303"</f>
        <v>2561409010303</v>
      </c>
      <c r="C8336" s="8" t="s">
        <v>15</v>
      </c>
      <c r="D8336" s="9">
        <v>58.72</v>
      </c>
      <c r="E8336" s="8">
        <v>105</v>
      </c>
    </row>
    <row r="8337" s="3" customFormat="1" ht="18.75" spans="1:5">
      <c r="A8337" s="8" t="str">
        <f t="shared" si="145"/>
        <v>250035</v>
      </c>
      <c r="B8337" s="8" t="str">
        <f>"2561409011029"</f>
        <v>2561409011029</v>
      </c>
      <c r="C8337" s="8" t="s">
        <v>15</v>
      </c>
      <c r="D8337" s="9">
        <v>58.37</v>
      </c>
      <c r="E8337" s="8">
        <v>106</v>
      </c>
    </row>
    <row r="8338" s="3" customFormat="1" ht="18.75" spans="1:5">
      <c r="A8338" s="8" t="str">
        <f t="shared" si="145"/>
        <v>250035</v>
      </c>
      <c r="B8338" s="8" t="str">
        <f>"2561409011704"</f>
        <v>2561409011704</v>
      </c>
      <c r="C8338" s="8" t="s">
        <v>15</v>
      </c>
      <c r="D8338" s="9">
        <v>58.35</v>
      </c>
      <c r="E8338" s="8">
        <v>107</v>
      </c>
    </row>
    <row r="8339" s="3" customFormat="1" ht="18.75" spans="1:5">
      <c r="A8339" s="8" t="str">
        <f t="shared" si="145"/>
        <v>250035</v>
      </c>
      <c r="B8339" s="8" t="str">
        <f>"2561409010806"</f>
        <v>2561409010806</v>
      </c>
      <c r="C8339" s="8" t="s">
        <v>15</v>
      </c>
      <c r="D8339" s="9">
        <v>58.31</v>
      </c>
      <c r="E8339" s="8">
        <v>108</v>
      </c>
    </row>
    <row r="8340" s="3" customFormat="1" ht="18.75" spans="1:5">
      <c r="A8340" s="8" t="str">
        <f t="shared" si="145"/>
        <v>250035</v>
      </c>
      <c r="B8340" s="8" t="str">
        <f>"2561409011215"</f>
        <v>2561409011215</v>
      </c>
      <c r="C8340" s="8" t="s">
        <v>15</v>
      </c>
      <c r="D8340" s="9">
        <v>58.3</v>
      </c>
      <c r="E8340" s="8">
        <v>109</v>
      </c>
    </row>
    <row r="8341" s="3" customFormat="1" ht="18.75" spans="1:5">
      <c r="A8341" s="8" t="str">
        <f t="shared" si="145"/>
        <v>250035</v>
      </c>
      <c r="B8341" s="8" t="str">
        <f>"2561409011618"</f>
        <v>2561409011618</v>
      </c>
      <c r="C8341" s="8" t="s">
        <v>15</v>
      </c>
      <c r="D8341" s="9">
        <v>58.28</v>
      </c>
      <c r="E8341" s="8">
        <v>110</v>
      </c>
    </row>
    <row r="8342" s="3" customFormat="1" ht="18.75" spans="1:5">
      <c r="A8342" s="8" t="str">
        <f t="shared" si="145"/>
        <v>250035</v>
      </c>
      <c r="B8342" s="8" t="str">
        <f>"2561409010915"</f>
        <v>2561409010915</v>
      </c>
      <c r="C8342" s="8" t="s">
        <v>15</v>
      </c>
      <c r="D8342" s="9">
        <v>58.23</v>
      </c>
      <c r="E8342" s="8">
        <v>111</v>
      </c>
    </row>
    <row r="8343" s="3" customFormat="1" ht="18.75" spans="1:5">
      <c r="A8343" s="8" t="str">
        <f t="shared" si="145"/>
        <v>250035</v>
      </c>
      <c r="B8343" s="8" t="str">
        <f>"2561409010720"</f>
        <v>2561409010720</v>
      </c>
      <c r="C8343" s="8" t="s">
        <v>15</v>
      </c>
      <c r="D8343" s="9">
        <v>58.19</v>
      </c>
      <c r="E8343" s="8">
        <v>112</v>
      </c>
    </row>
    <row r="8344" s="3" customFormat="1" ht="18.75" spans="1:5">
      <c r="A8344" s="8" t="str">
        <f t="shared" si="145"/>
        <v>250035</v>
      </c>
      <c r="B8344" s="8" t="str">
        <f>"2561409010419"</f>
        <v>2561409010419</v>
      </c>
      <c r="C8344" s="8" t="s">
        <v>15</v>
      </c>
      <c r="D8344" s="9">
        <v>58.18</v>
      </c>
      <c r="E8344" s="8">
        <v>113</v>
      </c>
    </row>
    <row r="8345" s="3" customFormat="1" ht="18.75" spans="1:5">
      <c r="A8345" s="8" t="str">
        <f t="shared" si="145"/>
        <v>250035</v>
      </c>
      <c r="B8345" s="8" t="str">
        <f>"2561409011617"</f>
        <v>2561409011617</v>
      </c>
      <c r="C8345" s="8" t="s">
        <v>15</v>
      </c>
      <c r="D8345" s="9">
        <v>58.18</v>
      </c>
      <c r="E8345" s="8">
        <v>113</v>
      </c>
    </row>
    <row r="8346" s="3" customFormat="1" ht="18.75" spans="1:5">
      <c r="A8346" s="8" t="str">
        <f t="shared" si="145"/>
        <v>250035</v>
      </c>
      <c r="B8346" s="8" t="str">
        <f>"2561409010508"</f>
        <v>2561409010508</v>
      </c>
      <c r="C8346" s="8" t="s">
        <v>15</v>
      </c>
      <c r="D8346" s="9">
        <v>58.15</v>
      </c>
      <c r="E8346" s="8">
        <v>115</v>
      </c>
    </row>
    <row r="8347" s="3" customFormat="1" ht="18.75" spans="1:5">
      <c r="A8347" s="8" t="str">
        <f t="shared" si="145"/>
        <v>250035</v>
      </c>
      <c r="B8347" s="8" t="str">
        <f>"2561409011313"</f>
        <v>2561409011313</v>
      </c>
      <c r="C8347" s="8" t="s">
        <v>15</v>
      </c>
      <c r="D8347" s="9">
        <v>58.09</v>
      </c>
      <c r="E8347" s="8">
        <v>116</v>
      </c>
    </row>
    <row r="8348" s="3" customFormat="1" ht="18.75" spans="1:5">
      <c r="A8348" s="8" t="str">
        <f t="shared" si="145"/>
        <v>250035</v>
      </c>
      <c r="B8348" s="8" t="str">
        <f>"2561409010613"</f>
        <v>2561409010613</v>
      </c>
      <c r="C8348" s="8" t="s">
        <v>15</v>
      </c>
      <c r="D8348" s="9">
        <v>58.08</v>
      </c>
      <c r="E8348" s="8">
        <v>117</v>
      </c>
    </row>
    <row r="8349" s="3" customFormat="1" ht="18.75" spans="1:5">
      <c r="A8349" s="8" t="str">
        <f t="shared" si="145"/>
        <v>250035</v>
      </c>
      <c r="B8349" s="8" t="str">
        <f>"2561409010318"</f>
        <v>2561409010318</v>
      </c>
      <c r="C8349" s="8" t="s">
        <v>15</v>
      </c>
      <c r="D8349" s="9">
        <v>58.07</v>
      </c>
      <c r="E8349" s="8">
        <v>118</v>
      </c>
    </row>
    <row r="8350" s="3" customFormat="1" ht="18.75" spans="1:5">
      <c r="A8350" s="8" t="str">
        <f t="shared" si="145"/>
        <v>250035</v>
      </c>
      <c r="B8350" s="8" t="str">
        <f>"2561409011415"</f>
        <v>2561409011415</v>
      </c>
      <c r="C8350" s="8" t="s">
        <v>15</v>
      </c>
      <c r="D8350" s="9">
        <v>57.99</v>
      </c>
      <c r="E8350" s="8">
        <v>119</v>
      </c>
    </row>
    <row r="8351" s="3" customFormat="1" ht="18.75" spans="1:5">
      <c r="A8351" s="8" t="str">
        <f t="shared" si="145"/>
        <v>250035</v>
      </c>
      <c r="B8351" s="8" t="str">
        <f>"2561409010421"</f>
        <v>2561409010421</v>
      </c>
      <c r="C8351" s="8" t="s">
        <v>15</v>
      </c>
      <c r="D8351" s="9">
        <v>57.98</v>
      </c>
      <c r="E8351" s="8">
        <v>120</v>
      </c>
    </row>
    <row r="8352" s="3" customFormat="1" ht="18.75" spans="1:5">
      <c r="A8352" s="8" t="str">
        <f t="shared" si="145"/>
        <v>250035</v>
      </c>
      <c r="B8352" s="8" t="str">
        <f>"2561409010711"</f>
        <v>2561409010711</v>
      </c>
      <c r="C8352" s="8" t="s">
        <v>15</v>
      </c>
      <c r="D8352" s="9">
        <v>57.98</v>
      </c>
      <c r="E8352" s="8">
        <v>120</v>
      </c>
    </row>
    <row r="8353" s="3" customFormat="1" ht="18.75" spans="1:5">
      <c r="A8353" s="8" t="str">
        <f t="shared" si="145"/>
        <v>250035</v>
      </c>
      <c r="B8353" s="8" t="str">
        <f>"2561409010210"</f>
        <v>2561409010210</v>
      </c>
      <c r="C8353" s="8" t="s">
        <v>15</v>
      </c>
      <c r="D8353" s="9">
        <v>57.89</v>
      </c>
      <c r="E8353" s="8">
        <v>122</v>
      </c>
    </row>
    <row r="8354" s="3" customFormat="1" ht="18.75" spans="1:5">
      <c r="A8354" s="8" t="str">
        <f t="shared" si="145"/>
        <v>250035</v>
      </c>
      <c r="B8354" s="8" t="str">
        <f>"2561409011005"</f>
        <v>2561409011005</v>
      </c>
      <c r="C8354" s="8" t="s">
        <v>15</v>
      </c>
      <c r="D8354" s="9">
        <v>57.8</v>
      </c>
      <c r="E8354" s="8">
        <v>123</v>
      </c>
    </row>
    <row r="8355" s="3" customFormat="1" ht="18.75" spans="1:5">
      <c r="A8355" s="8" t="str">
        <f t="shared" si="145"/>
        <v>250035</v>
      </c>
      <c r="B8355" s="8" t="str">
        <f>"2561409011521"</f>
        <v>2561409011521</v>
      </c>
      <c r="C8355" s="8" t="s">
        <v>15</v>
      </c>
      <c r="D8355" s="9">
        <v>57.57</v>
      </c>
      <c r="E8355" s="8">
        <v>124</v>
      </c>
    </row>
    <row r="8356" s="3" customFormat="1" ht="18.75" spans="1:5">
      <c r="A8356" s="8" t="str">
        <f t="shared" si="145"/>
        <v>250035</v>
      </c>
      <c r="B8356" s="8" t="str">
        <f>"2561409010729"</f>
        <v>2561409010729</v>
      </c>
      <c r="C8356" s="8" t="s">
        <v>15</v>
      </c>
      <c r="D8356" s="9">
        <v>57.54</v>
      </c>
      <c r="E8356" s="8">
        <v>125</v>
      </c>
    </row>
    <row r="8357" s="3" customFormat="1" ht="18.75" spans="1:5">
      <c r="A8357" s="8" t="str">
        <f t="shared" si="145"/>
        <v>250035</v>
      </c>
      <c r="B8357" s="8" t="str">
        <f>"2561409011616"</f>
        <v>2561409011616</v>
      </c>
      <c r="C8357" s="8" t="s">
        <v>15</v>
      </c>
      <c r="D8357" s="9">
        <v>57.47</v>
      </c>
      <c r="E8357" s="8">
        <v>126</v>
      </c>
    </row>
    <row r="8358" s="3" customFormat="1" ht="18.75" spans="1:5">
      <c r="A8358" s="8" t="str">
        <f t="shared" si="145"/>
        <v>250035</v>
      </c>
      <c r="B8358" s="8" t="str">
        <f>"2561409011508"</f>
        <v>2561409011508</v>
      </c>
      <c r="C8358" s="8" t="s">
        <v>15</v>
      </c>
      <c r="D8358" s="9">
        <v>57.46</v>
      </c>
      <c r="E8358" s="8">
        <v>127</v>
      </c>
    </row>
    <row r="8359" s="3" customFormat="1" ht="18.75" spans="1:5">
      <c r="A8359" s="8" t="str">
        <f t="shared" si="145"/>
        <v>250035</v>
      </c>
      <c r="B8359" s="8" t="str">
        <f>"2561409010917"</f>
        <v>2561409010917</v>
      </c>
      <c r="C8359" s="8" t="s">
        <v>15</v>
      </c>
      <c r="D8359" s="9">
        <v>57.43</v>
      </c>
      <c r="E8359" s="8">
        <v>128</v>
      </c>
    </row>
    <row r="8360" s="3" customFormat="1" ht="18.75" spans="1:5">
      <c r="A8360" s="8" t="str">
        <f t="shared" ref="A8360:A8423" si="146">"250035"</f>
        <v>250035</v>
      </c>
      <c r="B8360" s="8" t="str">
        <f>"2561409010705"</f>
        <v>2561409010705</v>
      </c>
      <c r="C8360" s="8" t="s">
        <v>15</v>
      </c>
      <c r="D8360" s="9">
        <v>57.39</v>
      </c>
      <c r="E8360" s="8">
        <v>129</v>
      </c>
    </row>
    <row r="8361" s="3" customFormat="1" ht="18.75" spans="1:5">
      <c r="A8361" s="8" t="str">
        <f t="shared" si="146"/>
        <v>250035</v>
      </c>
      <c r="B8361" s="8" t="str">
        <f>"2561409010815"</f>
        <v>2561409010815</v>
      </c>
      <c r="C8361" s="8" t="s">
        <v>15</v>
      </c>
      <c r="D8361" s="9">
        <v>57.25</v>
      </c>
      <c r="E8361" s="8">
        <v>130</v>
      </c>
    </row>
    <row r="8362" s="3" customFormat="1" ht="18.75" spans="1:5">
      <c r="A8362" s="8" t="str">
        <f t="shared" si="146"/>
        <v>250035</v>
      </c>
      <c r="B8362" s="8" t="str">
        <f>"2561409011630"</f>
        <v>2561409011630</v>
      </c>
      <c r="C8362" s="8" t="s">
        <v>15</v>
      </c>
      <c r="D8362" s="9">
        <v>57.25</v>
      </c>
      <c r="E8362" s="8">
        <v>130</v>
      </c>
    </row>
    <row r="8363" s="3" customFormat="1" ht="18.75" spans="1:5">
      <c r="A8363" s="8" t="str">
        <f t="shared" si="146"/>
        <v>250035</v>
      </c>
      <c r="B8363" s="8" t="str">
        <f>"2561409011402"</f>
        <v>2561409011402</v>
      </c>
      <c r="C8363" s="8" t="s">
        <v>15</v>
      </c>
      <c r="D8363" s="9">
        <v>57.2</v>
      </c>
      <c r="E8363" s="8">
        <v>132</v>
      </c>
    </row>
    <row r="8364" s="3" customFormat="1" ht="18.75" spans="1:5">
      <c r="A8364" s="8" t="str">
        <f t="shared" si="146"/>
        <v>250035</v>
      </c>
      <c r="B8364" s="8" t="str">
        <f>"2561409010407"</f>
        <v>2561409010407</v>
      </c>
      <c r="C8364" s="8" t="s">
        <v>15</v>
      </c>
      <c r="D8364" s="9">
        <v>57.17</v>
      </c>
      <c r="E8364" s="8">
        <v>133</v>
      </c>
    </row>
    <row r="8365" s="3" customFormat="1" ht="18.75" spans="1:5">
      <c r="A8365" s="8" t="str">
        <f t="shared" si="146"/>
        <v>250035</v>
      </c>
      <c r="B8365" s="8" t="str">
        <f>"2561409011120"</f>
        <v>2561409011120</v>
      </c>
      <c r="C8365" s="8" t="s">
        <v>15</v>
      </c>
      <c r="D8365" s="9">
        <v>57.16</v>
      </c>
      <c r="E8365" s="8">
        <v>134</v>
      </c>
    </row>
    <row r="8366" s="3" customFormat="1" ht="18.75" spans="1:5">
      <c r="A8366" s="8" t="str">
        <f t="shared" si="146"/>
        <v>250035</v>
      </c>
      <c r="B8366" s="8" t="str">
        <f>"2561409011304"</f>
        <v>2561409011304</v>
      </c>
      <c r="C8366" s="8" t="s">
        <v>15</v>
      </c>
      <c r="D8366" s="9">
        <v>57.15</v>
      </c>
      <c r="E8366" s="8">
        <v>135</v>
      </c>
    </row>
    <row r="8367" s="3" customFormat="1" ht="18.75" spans="1:5">
      <c r="A8367" s="8" t="str">
        <f t="shared" si="146"/>
        <v>250035</v>
      </c>
      <c r="B8367" s="8" t="str">
        <f>"2561409010904"</f>
        <v>2561409010904</v>
      </c>
      <c r="C8367" s="8" t="s">
        <v>15</v>
      </c>
      <c r="D8367" s="9">
        <v>57.11</v>
      </c>
      <c r="E8367" s="8">
        <v>136</v>
      </c>
    </row>
    <row r="8368" s="3" customFormat="1" ht="18.75" spans="1:5">
      <c r="A8368" s="8" t="str">
        <f t="shared" si="146"/>
        <v>250035</v>
      </c>
      <c r="B8368" s="8" t="str">
        <f>"2561409010418"</f>
        <v>2561409010418</v>
      </c>
      <c r="C8368" s="8" t="s">
        <v>15</v>
      </c>
      <c r="D8368" s="9">
        <v>57.1</v>
      </c>
      <c r="E8368" s="8">
        <v>137</v>
      </c>
    </row>
    <row r="8369" s="3" customFormat="1" ht="18.75" spans="1:5">
      <c r="A8369" s="8" t="str">
        <f t="shared" si="146"/>
        <v>250035</v>
      </c>
      <c r="B8369" s="8" t="str">
        <f>"2561409011013"</f>
        <v>2561409011013</v>
      </c>
      <c r="C8369" s="8" t="s">
        <v>15</v>
      </c>
      <c r="D8369" s="9">
        <v>57.08</v>
      </c>
      <c r="E8369" s="8">
        <v>138</v>
      </c>
    </row>
    <row r="8370" s="3" customFormat="1" ht="18.75" spans="1:5">
      <c r="A8370" s="8" t="str">
        <f t="shared" si="146"/>
        <v>250035</v>
      </c>
      <c r="B8370" s="8" t="str">
        <f>"2561409011611"</f>
        <v>2561409011611</v>
      </c>
      <c r="C8370" s="8" t="s">
        <v>15</v>
      </c>
      <c r="D8370" s="9">
        <v>56.95</v>
      </c>
      <c r="E8370" s="8">
        <v>139</v>
      </c>
    </row>
    <row r="8371" s="3" customFormat="1" ht="18.75" spans="1:5">
      <c r="A8371" s="8" t="str">
        <f t="shared" si="146"/>
        <v>250035</v>
      </c>
      <c r="B8371" s="8" t="str">
        <f>"2561409010622"</f>
        <v>2561409010622</v>
      </c>
      <c r="C8371" s="8" t="s">
        <v>15</v>
      </c>
      <c r="D8371" s="9">
        <v>56.89</v>
      </c>
      <c r="E8371" s="8">
        <v>140</v>
      </c>
    </row>
    <row r="8372" s="3" customFormat="1" ht="18.75" spans="1:5">
      <c r="A8372" s="8" t="str">
        <f t="shared" si="146"/>
        <v>250035</v>
      </c>
      <c r="B8372" s="8" t="str">
        <f>"2561409011312"</f>
        <v>2561409011312</v>
      </c>
      <c r="C8372" s="8" t="s">
        <v>15</v>
      </c>
      <c r="D8372" s="9">
        <v>56.82</v>
      </c>
      <c r="E8372" s="8">
        <v>141</v>
      </c>
    </row>
    <row r="8373" s="3" customFormat="1" ht="18.75" spans="1:5">
      <c r="A8373" s="8" t="str">
        <f t="shared" si="146"/>
        <v>250035</v>
      </c>
      <c r="B8373" s="8" t="str">
        <f>"2561409010629"</f>
        <v>2561409010629</v>
      </c>
      <c r="C8373" s="8" t="s">
        <v>15</v>
      </c>
      <c r="D8373" s="9">
        <v>56.81</v>
      </c>
      <c r="E8373" s="8">
        <v>142</v>
      </c>
    </row>
    <row r="8374" s="3" customFormat="1" ht="18.75" spans="1:5">
      <c r="A8374" s="8" t="str">
        <f t="shared" si="146"/>
        <v>250035</v>
      </c>
      <c r="B8374" s="8" t="str">
        <f>"2561409010123"</f>
        <v>2561409010123</v>
      </c>
      <c r="C8374" s="8" t="s">
        <v>15</v>
      </c>
      <c r="D8374" s="9">
        <v>56.71</v>
      </c>
      <c r="E8374" s="8">
        <v>143</v>
      </c>
    </row>
    <row r="8375" s="3" customFormat="1" ht="18.75" spans="1:5">
      <c r="A8375" s="8" t="str">
        <f t="shared" si="146"/>
        <v>250035</v>
      </c>
      <c r="B8375" s="8" t="str">
        <f>"2561409011316"</f>
        <v>2561409011316</v>
      </c>
      <c r="C8375" s="8" t="s">
        <v>15</v>
      </c>
      <c r="D8375" s="9">
        <v>56.68</v>
      </c>
      <c r="E8375" s="8">
        <v>144</v>
      </c>
    </row>
    <row r="8376" s="3" customFormat="1" ht="18.75" spans="1:5">
      <c r="A8376" s="8" t="str">
        <f t="shared" si="146"/>
        <v>250035</v>
      </c>
      <c r="B8376" s="8" t="str">
        <f>"2561409011203"</f>
        <v>2561409011203</v>
      </c>
      <c r="C8376" s="8" t="s">
        <v>15</v>
      </c>
      <c r="D8376" s="9">
        <v>56.61</v>
      </c>
      <c r="E8376" s="8">
        <v>145</v>
      </c>
    </row>
    <row r="8377" s="3" customFormat="1" ht="18.75" spans="1:5">
      <c r="A8377" s="8" t="str">
        <f t="shared" si="146"/>
        <v>250035</v>
      </c>
      <c r="B8377" s="8" t="str">
        <f>"2561409011719"</f>
        <v>2561409011719</v>
      </c>
      <c r="C8377" s="8" t="s">
        <v>15</v>
      </c>
      <c r="D8377" s="9">
        <v>56.58</v>
      </c>
      <c r="E8377" s="8">
        <v>146</v>
      </c>
    </row>
    <row r="8378" s="3" customFormat="1" ht="18.75" spans="1:5">
      <c r="A8378" s="8" t="str">
        <f t="shared" si="146"/>
        <v>250035</v>
      </c>
      <c r="B8378" s="8" t="str">
        <f>"2561409010507"</f>
        <v>2561409010507</v>
      </c>
      <c r="C8378" s="8" t="s">
        <v>15</v>
      </c>
      <c r="D8378" s="9">
        <v>56.55</v>
      </c>
      <c r="E8378" s="8">
        <v>147</v>
      </c>
    </row>
    <row r="8379" s="3" customFormat="1" ht="18.75" spans="1:5">
      <c r="A8379" s="8" t="str">
        <f t="shared" si="146"/>
        <v>250035</v>
      </c>
      <c r="B8379" s="8" t="str">
        <f>"2561409011018"</f>
        <v>2561409011018</v>
      </c>
      <c r="C8379" s="8" t="s">
        <v>15</v>
      </c>
      <c r="D8379" s="9">
        <v>56.54</v>
      </c>
      <c r="E8379" s="8">
        <v>148</v>
      </c>
    </row>
    <row r="8380" s="3" customFormat="1" ht="18.75" spans="1:5">
      <c r="A8380" s="8" t="str">
        <f t="shared" si="146"/>
        <v>250035</v>
      </c>
      <c r="B8380" s="8" t="str">
        <f>"2561409011404"</f>
        <v>2561409011404</v>
      </c>
      <c r="C8380" s="8" t="s">
        <v>15</v>
      </c>
      <c r="D8380" s="9">
        <v>56.52</v>
      </c>
      <c r="E8380" s="8">
        <v>149</v>
      </c>
    </row>
    <row r="8381" s="3" customFormat="1" ht="18.75" spans="1:5">
      <c r="A8381" s="8" t="str">
        <f t="shared" si="146"/>
        <v>250035</v>
      </c>
      <c r="B8381" s="8" t="str">
        <f>"2561409010305"</f>
        <v>2561409010305</v>
      </c>
      <c r="C8381" s="8" t="s">
        <v>15</v>
      </c>
      <c r="D8381" s="9">
        <v>56.51</v>
      </c>
      <c r="E8381" s="8">
        <v>150</v>
      </c>
    </row>
    <row r="8382" s="3" customFormat="1" ht="18.75" spans="1:5">
      <c r="A8382" s="8" t="str">
        <f t="shared" si="146"/>
        <v>250035</v>
      </c>
      <c r="B8382" s="8" t="str">
        <f>"2561409010309"</f>
        <v>2561409010309</v>
      </c>
      <c r="C8382" s="8" t="s">
        <v>15</v>
      </c>
      <c r="D8382" s="9">
        <v>56.5</v>
      </c>
      <c r="E8382" s="8">
        <v>151</v>
      </c>
    </row>
    <row r="8383" s="3" customFormat="1" ht="18.75" spans="1:5">
      <c r="A8383" s="8" t="str">
        <f t="shared" si="146"/>
        <v>250035</v>
      </c>
      <c r="B8383" s="8" t="str">
        <f>"2561409011614"</f>
        <v>2561409011614</v>
      </c>
      <c r="C8383" s="8" t="s">
        <v>15</v>
      </c>
      <c r="D8383" s="9">
        <v>56.42</v>
      </c>
      <c r="E8383" s="8">
        <v>152</v>
      </c>
    </row>
    <row r="8384" s="3" customFormat="1" ht="18.75" spans="1:5">
      <c r="A8384" s="8" t="str">
        <f t="shared" si="146"/>
        <v>250035</v>
      </c>
      <c r="B8384" s="8" t="str">
        <f>"2561409010426"</f>
        <v>2561409010426</v>
      </c>
      <c r="C8384" s="8" t="s">
        <v>15</v>
      </c>
      <c r="D8384" s="9">
        <v>56.31</v>
      </c>
      <c r="E8384" s="8">
        <v>153</v>
      </c>
    </row>
    <row r="8385" s="3" customFormat="1" ht="18.75" spans="1:5">
      <c r="A8385" s="8" t="str">
        <f t="shared" si="146"/>
        <v>250035</v>
      </c>
      <c r="B8385" s="8" t="str">
        <f>"2561409010817"</f>
        <v>2561409010817</v>
      </c>
      <c r="C8385" s="8" t="s">
        <v>15</v>
      </c>
      <c r="D8385" s="9">
        <v>56.31</v>
      </c>
      <c r="E8385" s="8">
        <v>153</v>
      </c>
    </row>
    <row r="8386" s="3" customFormat="1" ht="18.75" spans="1:5">
      <c r="A8386" s="8" t="str">
        <f t="shared" si="146"/>
        <v>250035</v>
      </c>
      <c r="B8386" s="8" t="str">
        <f>"2561409010404"</f>
        <v>2561409010404</v>
      </c>
      <c r="C8386" s="8" t="s">
        <v>15</v>
      </c>
      <c r="D8386" s="9">
        <v>56.28</v>
      </c>
      <c r="E8386" s="8">
        <v>155</v>
      </c>
    </row>
    <row r="8387" s="3" customFormat="1" ht="18.75" spans="1:5">
      <c r="A8387" s="8" t="str">
        <f t="shared" si="146"/>
        <v>250035</v>
      </c>
      <c r="B8387" s="8" t="str">
        <f>"2561409011027"</f>
        <v>2561409011027</v>
      </c>
      <c r="C8387" s="8" t="s">
        <v>15</v>
      </c>
      <c r="D8387" s="9">
        <v>56.28</v>
      </c>
      <c r="E8387" s="8">
        <v>155</v>
      </c>
    </row>
    <row r="8388" s="3" customFormat="1" ht="18.75" spans="1:5">
      <c r="A8388" s="8" t="str">
        <f t="shared" si="146"/>
        <v>250035</v>
      </c>
      <c r="B8388" s="8" t="str">
        <f>"2561409011030"</f>
        <v>2561409011030</v>
      </c>
      <c r="C8388" s="8" t="s">
        <v>15</v>
      </c>
      <c r="D8388" s="9">
        <v>56.22</v>
      </c>
      <c r="E8388" s="8">
        <v>157</v>
      </c>
    </row>
    <row r="8389" s="3" customFormat="1" ht="18.75" spans="1:5">
      <c r="A8389" s="8" t="str">
        <f t="shared" si="146"/>
        <v>250035</v>
      </c>
      <c r="B8389" s="8" t="str">
        <f>"2561409010208"</f>
        <v>2561409010208</v>
      </c>
      <c r="C8389" s="8" t="s">
        <v>15</v>
      </c>
      <c r="D8389" s="9">
        <v>56.09</v>
      </c>
      <c r="E8389" s="8">
        <v>158</v>
      </c>
    </row>
    <row r="8390" s="3" customFormat="1" ht="18.75" spans="1:5">
      <c r="A8390" s="8" t="str">
        <f t="shared" si="146"/>
        <v>250035</v>
      </c>
      <c r="B8390" s="8" t="str">
        <f>"2561409010127"</f>
        <v>2561409010127</v>
      </c>
      <c r="C8390" s="8" t="s">
        <v>15</v>
      </c>
      <c r="D8390" s="9">
        <v>56.07</v>
      </c>
      <c r="E8390" s="8">
        <v>159</v>
      </c>
    </row>
    <row r="8391" s="3" customFormat="1" ht="18.75" spans="1:5">
      <c r="A8391" s="8" t="str">
        <f t="shared" si="146"/>
        <v>250035</v>
      </c>
      <c r="B8391" s="8" t="str">
        <f>"2561409010721"</f>
        <v>2561409010721</v>
      </c>
      <c r="C8391" s="8" t="s">
        <v>15</v>
      </c>
      <c r="D8391" s="9">
        <v>56.04</v>
      </c>
      <c r="E8391" s="8">
        <v>160</v>
      </c>
    </row>
    <row r="8392" s="3" customFormat="1" ht="18.75" spans="1:5">
      <c r="A8392" s="8" t="str">
        <f t="shared" si="146"/>
        <v>250035</v>
      </c>
      <c r="B8392" s="8" t="str">
        <f>"2561409011302"</f>
        <v>2561409011302</v>
      </c>
      <c r="C8392" s="8" t="s">
        <v>15</v>
      </c>
      <c r="D8392" s="9">
        <v>56.02</v>
      </c>
      <c r="E8392" s="8">
        <v>161</v>
      </c>
    </row>
    <row r="8393" s="3" customFormat="1" ht="18.75" spans="1:5">
      <c r="A8393" s="8" t="str">
        <f t="shared" si="146"/>
        <v>250035</v>
      </c>
      <c r="B8393" s="8" t="str">
        <f>"2561409011028"</f>
        <v>2561409011028</v>
      </c>
      <c r="C8393" s="8" t="s">
        <v>15</v>
      </c>
      <c r="D8393" s="9">
        <v>55.98</v>
      </c>
      <c r="E8393" s="8">
        <v>162</v>
      </c>
    </row>
    <row r="8394" s="3" customFormat="1" ht="18.75" spans="1:5">
      <c r="A8394" s="8" t="str">
        <f t="shared" si="146"/>
        <v>250035</v>
      </c>
      <c r="B8394" s="8" t="str">
        <f>"2561409011110"</f>
        <v>2561409011110</v>
      </c>
      <c r="C8394" s="8" t="s">
        <v>15</v>
      </c>
      <c r="D8394" s="9">
        <v>55.98</v>
      </c>
      <c r="E8394" s="8">
        <v>162</v>
      </c>
    </row>
    <row r="8395" s="3" customFormat="1" ht="18.75" spans="1:5">
      <c r="A8395" s="8" t="str">
        <f t="shared" si="146"/>
        <v>250035</v>
      </c>
      <c r="B8395" s="8" t="str">
        <f>"2561409010325"</f>
        <v>2561409010325</v>
      </c>
      <c r="C8395" s="8" t="s">
        <v>15</v>
      </c>
      <c r="D8395" s="9">
        <v>55.93</v>
      </c>
      <c r="E8395" s="8">
        <v>164</v>
      </c>
    </row>
    <row r="8396" s="3" customFormat="1" ht="18.75" spans="1:5">
      <c r="A8396" s="8" t="str">
        <f t="shared" si="146"/>
        <v>250035</v>
      </c>
      <c r="B8396" s="8" t="str">
        <f>"2561409011619"</f>
        <v>2561409011619</v>
      </c>
      <c r="C8396" s="8" t="s">
        <v>15</v>
      </c>
      <c r="D8396" s="9">
        <v>55.69</v>
      </c>
      <c r="E8396" s="8">
        <v>165</v>
      </c>
    </row>
    <row r="8397" s="3" customFormat="1" ht="18.75" spans="1:5">
      <c r="A8397" s="8" t="str">
        <f t="shared" si="146"/>
        <v>250035</v>
      </c>
      <c r="B8397" s="8" t="str">
        <f>"2561409010119"</f>
        <v>2561409010119</v>
      </c>
      <c r="C8397" s="8" t="s">
        <v>15</v>
      </c>
      <c r="D8397" s="9">
        <v>55.61</v>
      </c>
      <c r="E8397" s="8">
        <v>166</v>
      </c>
    </row>
    <row r="8398" s="3" customFormat="1" ht="18.75" spans="1:5">
      <c r="A8398" s="8" t="str">
        <f t="shared" si="146"/>
        <v>250035</v>
      </c>
      <c r="B8398" s="8" t="str">
        <f>"2561409010526"</f>
        <v>2561409010526</v>
      </c>
      <c r="C8398" s="8" t="s">
        <v>15</v>
      </c>
      <c r="D8398" s="9">
        <v>55.57</v>
      </c>
      <c r="E8398" s="8">
        <v>167</v>
      </c>
    </row>
    <row r="8399" s="3" customFormat="1" ht="18.75" spans="1:5">
      <c r="A8399" s="8" t="str">
        <f t="shared" si="146"/>
        <v>250035</v>
      </c>
      <c r="B8399" s="8" t="str">
        <f>"2561409010126"</f>
        <v>2561409010126</v>
      </c>
      <c r="C8399" s="8" t="s">
        <v>15</v>
      </c>
      <c r="D8399" s="9">
        <v>55.55</v>
      </c>
      <c r="E8399" s="8">
        <v>168</v>
      </c>
    </row>
    <row r="8400" s="3" customFormat="1" ht="18.75" spans="1:5">
      <c r="A8400" s="8" t="str">
        <f t="shared" si="146"/>
        <v>250035</v>
      </c>
      <c r="B8400" s="8" t="str">
        <f>"2561409010502"</f>
        <v>2561409010502</v>
      </c>
      <c r="C8400" s="8" t="s">
        <v>15</v>
      </c>
      <c r="D8400" s="9">
        <v>55.46</v>
      </c>
      <c r="E8400" s="8">
        <v>169</v>
      </c>
    </row>
    <row r="8401" s="3" customFormat="1" ht="18.75" spans="1:5">
      <c r="A8401" s="8" t="str">
        <f t="shared" si="146"/>
        <v>250035</v>
      </c>
      <c r="B8401" s="8" t="str">
        <f>"2561409010406"</f>
        <v>2561409010406</v>
      </c>
      <c r="C8401" s="8" t="s">
        <v>15</v>
      </c>
      <c r="D8401" s="9">
        <v>55.37</v>
      </c>
      <c r="E8401" s="8">
        <v>170</v>
      </c>
    </row>
    <row r="8402" s="3" customFormat="1" ht="18.75" spans="1:5">
      <c r="A8402" s="8" t="str">
        <f t="shared" si="146"/>
        <v>250035</v>
      </c>
      <c r="B8402" s="8" t="str">
        <f>"2561409011006"</f>
        <v>2561409011006</v>
      </c>
      <c r="C8402" s="8" t="s">
        <v>15</v>
      </c>
      <c r="D8402" s="9">
        <v>55.33</v>
      </c>
      <c r="E8402" s="8">
        <v>171</v>
      </c>
    </row>
    <row r="8403" s="3" customFormat="1" ht="18.75" spans="1:5">
      <c r="A8403" s="8" t="str">
        <f t="shared" si="146"/>
        <v>250035</v>
      </c>
      <c r="B8403" s="8" t="str">
        <f>"2561409010519"</f>
        <v>2561409010519</v>
      </c>
      <c r="C8403" s="8" t="s">
        <v>15</v>
      </c>
      <c r="D8403" s="9">
        <v>55.31</v>
      </c>
      <c r="E8403" s="8">
        <v>172</v>
      </c>
    </row>
    <row r="8404" s="3" customFormat="1" ht="18.75" spans="1:5">
      <c r="A8404" s="8" t="str">
        <f t="shared" si="146"/>
        <v>250035</v>
      </c>
      <c r="B8404" s="8" t="str">
        <f>"2561409011526"</f>
        <v>2561409011526</v>
      </c>
      <c r="C8404" s="8" t="s">
        <v>15</v>
      </c>
      <c r="D8404" s="9">
        <v>55.26</v>
      </c>
      <c r="E8404" s="8">
        <v>173</v>
      </c>
    </row>
    <row r="8405" s="3" customFormat="1" ht="18.75" spans="1:5">
      <c r="A8405" s="8" t="str">
        <f t="shared" si="146"/>
        <v>250035</v>
      </c>
      <c r="B8405" s="8" t="str">
        <f>"2561409010511"</f>
        <v>2561409010511</v>
      </c>
      <c r="C8405" s="8" t="s">
        <v>15</v>
      </c>
      <c r="D8405" s="9">
        <v>55.2</v>
      </c>
      <c r="E8405" s="8">
        <v>174</v>
      </c>
    </row>
    <row r="8406" s="3" customFormat="1" ht="18.75" spans="1:5">
      <c r="A8406" s="8" t="str">
        <f t="shared" si="146"/>
        <v>250035</v>
      </c>
      <c r="B8406" s="8" t="str">
        <f>"2561409011218"</f>
        <v>2561409011218</v>
      </c>
      <c r="C8406" s="8" t="s">
        <v>15</v>
      </c>
      <c r="D8406" s="9">
        <v>55.17</v>
      </c>
      <c r="E8406" s="8">
        <v>175</v>
      </c>
    </row>
    <row r="8407" s="3" customFormat="1" ht="18.75" spans="1:5">
      <c r="A8407" s="8" t="str">
        <f t="shared" si="146"/>
        <v>250035</v>
      </c>
      <c r="B8407" s="8" t="str">
        <f>"2561409010907"</f>
        <v>2561409010907</v>
      </c>
      <c r="C8407" s="8" t="s">
        <v>15</v>
      </c>
      <c r="D8407" s="9">
        <v>55.14</v>
      </c>
      <c r="E8407" s="8">
        <v>176</v>
      </c>
    </row>
    <row r="8408" s="3" customFormat="1" ht="18.75" spans="1:5">
      <c r="A8408" s="8" t="str">
        <f t="shared" si="146"/>
        <v>250035</v>
      </c>
      <c r="B8408" s="8" t="str">
        <f>"2561409010625"</f>
        <v>2561409010625</v>
      </c>
      <c r="C8408" s="8" t="s">
        <v>15</v>
      </c>
      <c r="D8408" s="9">
        <v>55.02</v>
      </c>
      <c r="E8408" s="8">
        <v>177</v>
      </c>
    </row>
    <row r="8409" s="3" customFormat="1" ht="18.75" spans="1:5">
      <c r="A8409" s="8" t="str">
        <f t="shared" si="146"/>
        <v>250035</v>
      </c>
      <c r="B8409" s="8" t="str">
        <f>"2561409011325"</f>
        <v>2561409011325</v>
      </c>
      <c r="C8409" s="8" t="s">
        <v>15</v>
      </c>
      <c r="D8409" s="9">
        <v>54.98</v>
      </c>
      <c r="E8409" s="8">
        <v>178</v>
      </c>
    </row>
    <row r="8410" s="3" customFormat="1" ht="18.75" spans="1:5">
      <c r="A8410" s="8" t="str">
        <f t="shared" si="146"/>
        <v>250035</v>
      </c>
      <c r="B8410" s="8" t="str">
        <f>"2561409011628"</f>
        <v>2561409011628</v>
      </c>
      <c r="C8410" s="8" t="s">
        <v>15</v>
      </c>
      <c r="D8410" s="9">
        <v>54.95</v>
      </c>
      <c r="E8410" s="8">
        <v>179</v>
      </c>
    </row>
    <row r="8411" s="3" customFormat="1" ht="18.75" spans="1:5">
      <c r="A8411" s="8" t="str">
        <f t="shared" si="146"/>
        <v>250035</v>
      </c>
      <c r="B8411" s="8" t="str">
        <f>"2561409010225"</f>
        <v>2561409010225</v>
      </c>
      <c r="C8411" s="8" t="s">
        <v>15</v>
      </c>
      <c r="D8411" s="9">
        <v>54.89</v>
      </c>
      <c r="E8411" s="8">
        <v>180</v>
      </c>
    </row>
    <row r="8412" s="3" customFormat="1" ht="18.75" spans="1:5">
      <c r="A8412" s="8" t="str">
        <f t="shared" si="146"/>
        <v>250035</v>
      </c>
      <c r="B8412" s="8" t="str">
        <f>"2561409010111"</f>
        <v>2561409010111</v>
      </c>
      <c r="C8412" s="8" t="s">
        <v>15</v>
      </c>
      <c r="D8412" s="9">
        <v>54.86</v>
      </c>
      <c r="E8412" s="8">
        <v>181</v>
      </c>
    </row>
    <row r="8413" s="3" customFormat="1" ht="18.75" spans="1:5">
      <c r="A8413" s="8" t="str">
        <f t="shared" si="146"/>
        <v>250035</v>
      </c>
      <c r="B8413" s="8" t="str">
        <f>"2561409011421"</f>
        <v>2561409011421</v>
      </c>
      <c r="C8413" s="8" t="s">
        <v>15</v>
      </c>
      <c r="D8413" s="9">
        <v>54.66</v>
      </c>
      <c r="E8413" s="8">
        <v>182</v>
      </c>
    </row>
    <row r="8414" s="3" customFormat="1" ht="18.75" spans="1:5">
      <c r="A8414" s="8" t="str">
        <f t="shared" si="146"/>
        <v>250035</v>
      </c>
      <c r="B8414" s="8" t="str">
        <f>"2561409011123"</f>
        <v>2561409011123</v>
      </c>
      <c r="C8414" s="8" t="s">
        <v>15</v>
      </c>
      <c r="D8414" s="9">
        <v>54.58</v>
      </c>
      <c r="E8414" s="8">
        <v>183</v>
      </c>
    </row>
    <row r="8415" s="3" customFormat="1" ht="18.75" spans="1:5">
      <c r="A8415" s="8" t="str">
        <f t="shared" si="146"/>
        <v>250035</v>
      </c>
      <c r="B8415" s="8" t="str">
        <f>"2561409010823"</f>
        <v>2561409010823</v>
      </c>
      <c r="C8415" s="8" t="s">
        <v>15</v>
      </c>
      <c r="D8415" s="9">
        <v>54.55</v>
      </c>
      <c r="E8415" s="8">
        <v>184</v>
      </c>
    </row>
    <row r="8416" s="3" customFormat="1" ht="18.75" spans="1:5">
      <c r="A8416" s="8" t="str">
        <f t="shared" si="146"/>
        <v>250035</v>
      </c>
      <c r="B8416" s="8" t="str">
        <f>"2561409010308"</f>
        <v>2561409010308</v>
      </c>
      <c r="C8416" s="8" t="s">
        <v>15</v>
      </c>
      <c r="D8416" s="9">
        <v>54.54</v>
      </c>
      <c r="E8416" s="8">
        <v>185</v>
      </c>
    </row>
    <row r="8417" s="3" customFormat="1" ht="18.75" spans="1:5">
      <c r="A8417" s="8" t="str">
        <f t="shared" si="146"/>
        <v>250035</v>
      </c>
      <c r="B8417" s="8" t="str">
        <f>"2561409010219"</f>
        <v>2561409010219</v>
      </c>
      <c r="C8417" s="8" t="s">
        <v>15</v>
      </c>
      <c r="D8417" s="9">
        <v>54.53</v>
      </c>
      <c r="E8417" s="8">
        <v>186</v>
      </c>
    </row>
    <row r="8418" s="3" customFormat="1" ht="18.75" spans="1:5">
      <c r="A8418" s="8" t="str">
        <f t="shared" si="146"/>
        <v>250035</v>
      </c>
      <c r="B8418" s="8" t="str">
        <f>"2561409010608"</f>
        <v>2561409010608</v>
      </c>
      <c r="C8418" s="8" t="s">
        <v>15</v>
      </c>
      <c r="D8418" s="9">
        <v>54.53</v>
      </c>
      <c r="E8418" s="8">
        <v>186</v>
      </c>
    </row>
    <row r="8419" s="3" customFormat="1" ht="18.75" spans="1:5">
      <c r="A8419" s="8" t="str">
        <f t="shared" si="146"/>
        <v>250035</v>
      </c>
      <c r="B8419" s="8" t="str">
        <f>"2561409011620"</f>
        <v>2561409011620</v>
      </c>
      <c r="C8419" s="8" t="s">
        <v>15</v>
      </c>
      <c r="D8419" s="9">
        <v>54.45</v>
      </c>
      <c r="E8419" s="8">
        <v>188</v>
      </c>
    </row>
    <row r="8420" s="3" customFormat="1" ht="18.75" spans="1:5">
      <c r="A8420" s="8" t="str">
        <f t="shared" si="146"/>
        <v>250035</v>
      </c>
      <c r="B8420" s="8" t="str">
        <f>"2561409011119"</f>
        <v>2561409011119</v>
      </c>
      <c r="C8420" s="8" t="s">
        <v>15</v>
      </c>
      <c r="D8420" s="9">
        <v>54.16</v>
      </c>
      <c r="E8420" s="8">
        <v>189</v>
      </c>
    </row>
    <row r="8421" s="3" customFormat="1" ht="18.75" spans="1:5">
      <c r="A8421" s="8" t="str">
        <f t="shared" si="146"/>
        <v>250035</v>
      </c>
      <c r="B8421" s="8" t="str">
        <f>"2561409011109"</f>
        <v>2561409011109</v>
      </c>
      <c r="C8421" s="8" t="s">
        <v>15</v>
      </c>
      <c r="D8421" s="9">
        <v>53.99</v>
      </c>
      <c r="E8421" s="8">
        <v>190</v>
      </c>
    </row>
    <row r="8422" s="3" customFormat="1" ht="18.75" spans="1:5">
      <c r="A8422" s="8" t="str">
        <f t="shared" si="146"/>
        <v>250035</v>
      </c>
      <c r="B8422" s="8" t="str">
        <f>"2561409011703"</f>
        <v>2561409011703</v>
      </c>
      <c r="C8422" s="8" t="s">
        <v>15</v>
      </c>
      <c r="D8422" s="9">
        <v>53.86</v>
      </c>
      <c r="E8422" s="8">
        <v>191</v>
      </c>
    </row>
    <row r="8423" s="3" customFormat="1" ht="18.75" spans="1:5">
      <c r="A8423" s="8" t="str">
        <f t="shared" si="146"/>
        <v>250035</v>
      </c>
      <c r="B8423" s="8" t="str">
        <f>"2561409011624"</f>
        <v>2561409011624</v>
      </c>
      <c r="C8423" s="8" t="s">
        <v>15</v>
      </c>
      <c r="D8423" s="9">
        <v>53.82</v>
      </c>
      <c r="E8423" s="8">
        <v>192</v>
      </c>
    </row>
    <row r="8424" s="3" customFormat="1" ht="18.75" spans="1:5">
      <c r="A8424" s="8" t="str">
        <f t="shared" ref="A8424:A8487" si="147">"250035"</f>
        <v>250035</v>
      </c>
      <c r="B8424" s="8" t="str">
        <f>"2561409010416"</f>
        <v>2561409010416</v>
      </c>
      <c r="C8424" s="8" t="s">
        <v>15</v>
      </c>
      <c r="D8424" s="9">
        <v>53.79</v>
      </c>
      <c r="E8424" s="8">
        <v>193</v>
      </c>
    </row>
    <row r="8425" s="3" customFormat="1" ht="18.75" spans="1:5">
      <c r="A8425" s="8" t="str">
        <f t="shared" si="147"/>
        <v>250035</v>
      </c>
      <c r="B8425" s="8" t="str">
        <f>"2561409010912"</f>
        <v>2561409010912</v>
      </c>
      <c r="C8425" s="8" t="s">
        <v>15</v>
      </c>
      <c r="D8425" s="9">
        <v>53.79</v>
      </c>
      <c r="E8425" s="8">
        <v>193</v>
      </c>
    </row>
    <row r="8426" s="3" customFormat="1" ht="18.75" spans="1:5">
      <c r="A8426" s="8" t="str">
        <f t="shared" si="147"/>
        <v>250035</v>
      </c>
      <c r="B8426" s="8" t="str">
        <f>"2561409011102"</f>
        <v>2561409011102</v>
      </c>
      <c r="C8426" s="8" t="s">
        <v>15</v>
      </c>
      <c r="D8426" s="9">
        <v>53.77</v>
      </c>
      <c r="E8426" s="8">
        <v>195</v>
      </c>
    </row>
    <row r="8427" s="3" customFormat="1" ht="18.75" spans="1:5">
      <c r="A8427" s="8" t="str">
        <f t="shared" si="147"/>
        <v>250035</v>
      </c>
      <c r="B8427" s="8" t="str">
        <f>"2561409010805"</f>
        <v>2561409010805</v>
      </c>
      <c r="C8427" s="8" t="s">
        <v>15</v>
      </c>
      <c r="D8427" s="9">
        <v>53.76</v>
      </c>
      <c r="E8427" s="8">
        <v>196</v>
      </c>
    </row>
    <row r="8428" s="3" customFormat="1" ht="18.75" spans="1:5">
      <c r="A8428" s="8" t="str">
        <f t="shared" si="147"/>
        <v>250035</v>
      </c>
      <c r="B8428" s="8" t="str">
        <f>"2561409010122"</f>
        <v>2561409010122</v>
      </c>
      <c r="C8428" s="8" t="s">
        <v>15</v>
      </c>
      <c r="D8428" s="9">
        <v>53.64</v>
      </c>
      <c r="E8428" s="8">
        <v>197</v>
      </c>
    </row>
    <row r="8429" s="3" customFormat="1" ht="18.75" spans="1:5">
      <c r="A8429" s="8" t="str">
        <f t="shared" si="147"/>
        <v>250035</v>
      </c>
      <c r="B8429" s="8" t="str">
        <f>"2561409010202"</f>
        <v>2561409010202</v>
      </c>
      <c r="C8429" s="8" t="s">
        <v>15</v>
      </c>
      <c r="D8429" s="9">
        <v>53.5</v>
      </c>
      <c r="E8429" s="8">
        <v>198</v>
      </c>
    </row>
    <row r="8430" s="3" customFormat="1" ht="18.75" spans="1:5">
      <c r="A8430" s="8" t="str">
        <f t="shared" si="147"/>
        <v>250035</v>
      </c>
      <c r="B8430" s="8" t="str">
        <f>"2561409010215"</f>
        <v>2561409010215</v>
      </c>
      <c r="C8430" s="8" t="s">
        <v>15</v>
      </c>
      <c r="D8430" s="9">
        <v>53.39</v>
      </c>
      <c r="E8430" s="8">
        <v>199</v>
      </c>
    </row>
    <row r="8431" s="3" customFormat="1" ht="18.75" spans="1:5">
      <c r="A8431" s="8" t="str">
        <f t="shared" si="147"/>
        <v>250035</v>
      </c>
      <c r="B8431" s="8" t="str">
        <f>"2561409011505"</f>
        <v>2561409011505</v>
      </c>
      <c r="C8431" s="8" t="s">
        <v>15</v>
      </c>
      <c r="D8431" s="9">
        <v>53.39</v>
      </c>
      <c r="E8431" s="8">
        <v>199</v>
      </c>
    </row>
    <row r="8432" s="3" customFormat="1" ht="18.75" spans="1:5">
      <c r="A8432" s="8" t="str">
        <f t="shared" si="147"/>
        <v>250035</v>
      </c>
      <c r="B8432" s="8" t="str">
        <f>"2561409011714"</f>
        <v>2561409011714</v>
      </c>
      <c r="C8432" s="8" t="s">
        <v>15</v>
      </c>
      <c r="D8432" s="9">
        <v>53.3</v>
      </c>
      <c r="E8432" s="8">
        <v>201</v>
      </c>
    </row>
    <row r="8433" s="3" customFormat="1" ht="18.75" spans="1:5">
      <c r="A8433" s="8" t="str">
        <f t="shared" si="147"/>
        <v>250035</v>
      </c>
      <c r="B8433" s="8" t="str">
        <f>"2561409010814"</f>
        <v>2561409010814</v>
      </c>
      <c r="C8433" s="8" t="s">
        <v>15</v>
      </c>
      <c r="D8433" s="9">
        <v>53.14</v>
      </c>
      <c r="E8433" s="8">
        <v>202</v>
      </c>
    </row>
    <row r="8434" s="3" customFormat="1" ht="18.75" spans="1:5">
      <c r="A8434" s="8" t="str">
        <f t="shared" si="147"/>
        <v>250035</v>
      </c>
      <c r="B8434" s="8" t="str">
        <f>"2561409011502"</f>
        <v>2561409011502</v>
      </c>
      <c r="C8434" s="8" t="s">
        <v>15</v>
      </c>
      <c r="D8434" s="9">
        <v>53.12</v>
      </c>
      <c r="E8434" s="8">
        <v>203</v>
      </c>
    </row>
    <row r="8435" s="3" customFormat="1" ht="18.75" spans="1:5">
      <c r="A8435" s="8" t="str">
        <f t="shared" si="147"/>
        <v>250035</v>
      </c>
      <c r="B8435" s="8" t="str">
        <f>"2561409010927"</f>
        <v>2561409010927</v>
      </c>
      <c r="C8435" s="8" t="s">
        <v>15</v>
      </c>
      <c r="D8435" s="9">
        <v>53.1</v>
      </c>
      <c r="E8435" s="8">
        <v>204</v>
      </c>
    </row>
    <row r="8436" s="3" customFormat="1" ht="18.75" spans="1:5">
      <c r="A8436" s="8" t="str">
        <f t="shared" si="147"/>
        <v>250035</v>
      </c>
      <c r="B8436" s="8" t="str">
        <f>"2561409011001"</f>
        <v>2561409011001</v>
      </c>
      <c r="C8436" s="8" t="s">
        <v>15</v>
      </c>
      <c r="D8436" s="9">
        <v>53.05</v>
      </c>
      <c r="E8436" s="8">
        <v>205</v>
      </c>
    </row>
    <row r="8437" s="3" customFormat="1" ht="18.75" spans="1:5">
      <c r="A8437" s="8" t="str">
        <f t="shared" si="147"/>
        <v>250035</v>
      </c>
      <c r="B8437" s="8" t="str">
        <f>"2561409011613"</f>
        <v>2561409011613</v>
      </c>
      <c r="C8437" s="8" t="s">
        <v>15</v>
      </c>
      <c r="D8437" s="9">
        <v>53.04</v>
      </c>
      <c r="E8437" s="8">
        <v>206</v>
      </c>
    </row>
    <row r="8438" s="3" customFormat="1" ht="18.75" spans="1:5">
      <c r="A8438" s="8" t="str">
        <f t="shared" si="147"/>
        <v>250035</v>
      </c>
      <c r="B8438" s="8" t="str">
        <f>"2561409010120"</f>
        <v>2561409010120</v>
      </c>
      <c r="C8438" s="8" t="s">
        <v>15</v>
      </c>
      <c r="D8438" s="9">
        <v>53</v>
      </c>
      <c r="E8438" s="8">
        <v>207</v>
      </c>
    </row>
    <row r="8439" s="3" customFormat="1" ht="18.75" spans="1:5">
      <c r="A8439" s="8" t="str">
        <f t="shared" si="147"/>
        <v>250035</v>
      </c>
      <c r="B8439" s="8" t="str">
        <f>"2561409011108"</f>
        <v>2561409011108</v>
      </c>
      <c r="C8439" s="8" t="s">
        <v>15</v>
      </c>
      <c r="D8439" s="9">
        <v>52.96</v>
      </c>
      <c r="E8439" s="8">
        <v>208</v>
      </c>
    </row>
    <row r="8440" s="3" customFormat="1" ht="18.75" spans="1:5">
      <c r="A8440" s="8" t="str">
        <f t="shared" si="147"/>
        <v>250035</v>
      </c>
      <c r="B8440" s="8" t="str">
        <f>"2561409010307"</f>
        <v>2561409010307</v>
      </c>
      <c r="C8440" s="8" t="s">
        <v>15</v>
      </c>
      <c r="D8440" s="9">
        <v>52.93</v>
      </c>
      <c r="E8440" s="8">
        <v>209</v>
      </c>
    </row>
    <row r="8441" s="3" customFormat="1" ht="18.75" spans="1:5">
      <c r="A8441" s="8" t="str">
        <f t="shared" si="147"/>
        <v>250035</v>
      </c>
      <c r="B8441" s="8" t="str">
        <f>"2561409010129"</f>
        <v>2561409010129</v>
      </c>
      <c r="C8441" s="8" t="s">
        <v>15</v>
      </c>
      <c r="D8441" s="9">
        <v>52.91</v>
      </c>
      <c r="E8441" s="8">
        <v>210</v>
      </c>
    </row>
    <row r="8442" s="3" customFormat="1" ht="18.75" spans="1:5">
      <c r="A8442" s="8" t="str">
        <f t="shared" si="147"/>
        <v>250035</v>
      </c>
      <c r="B8442" s="8" t="str">
        <f>"2561409010213"</f>
        <v>2561409010213</v>
      </c>
      <c r="C8442" s="8" t="s">
        <v>15</v>
      </c>
      <c r="D8442" s="9">
        <v>52.81</v>
      </c>
      <c r="E8442" s="8">
        <v>211</v>
      </c>
    </row>
    <row r="8443" s="3" customFormat="1" ht="18.75" spans="1:5">
      <c r="A8443" s="8" t="str">
        <f t="shared" si="147"/>
        <v>250035</v>
      </c>
      <c r="B8443" s="8" t="str">
        <f>"2561409010604"</f>
        <v>2561409010604</v>
      </c>
      <c r="C8443" s="8" t="s">
        <v>15</v>
      </c>
      <c r="D8443" s="9">
        <v>52.79</v>
      </c>
      <c r="E8443" s="8">
        <v>212</v>
      </c>
    </row>
    <row r="8444" s="3" customFormat="1" ht="18.75" spans="1:5">
      <c r="A8444" s="8" t="str">
        <f t="shared" si="147"/>
        <v>250035</v>
      </c>
      <c r="B8444" s="8" t="str">
        <f>"2561409011515"</f>
        <v>2561409011515</v>
      </c>
      <c r="C8444" s="8" t="s">
        <v>15</v>
      </c>
      <c r="D8444" s="9">
        <v>52.6</v>
      </c>
      <c r="E8444" s="8">
        <v>213</v>
      </c>
    </row>
    <row r="8445" s="3" customFormat="1" ht="18.75" spans="1:5">
      <c r="A8445" s="8" t="str">
        <f t="shared" si="147"/>
        <v>250035</v>
      </c>
      <c r="B8445" s="8" t="str">
        <f>"2561409011716"</f>
        <v>2561409011716</v>
      </c>
      <c r="C8445" s="8" t="s">
        <v>15</v>
      </c>
      <c r="D8445" s="9">
        <v>52.58</v>
      </c>
      <c r="E8445" s="8">
        <v>214</v>
      </c>
    </row>
    <row r="8446" s="3" customFormat="1" ht="18.75" spans="1:5">
      <c r="A8446" s="8" t="str">
        <f t="shared" si="147"/>
        <v>250035</v>
      </c>
      <c r="B8446" s="8" t="str">
        <f>"2561409010820"</f>
        <v>2561409010820</v>
      </c>
      <c r="C8446" s="8" t="s">
        <v>15</v>
      </c>
      <c r="D8446" s="9">
        <v>52.54</v>
      </c>
      <c r="E8446" s="8">
        <v>215</v>
      </c>
    </row>
    <row r="8447" s="3" customFormat="1" ht="18.75" spans="1:5">
      <c r="A8447" s="8" t="str">
        <f t="shared" si="147"/>
        <v>250035</v>
      </c>
      <c r="B8447" s="8" t="str">
        <f>"2561409011220"</f>
        <v>2561409011220</v>
      </c>
      <c r="C8447" s="8" t="s">
        <v>15</v>
      </c>
      <c r="D8447" s="9">
        <v>52.54</v>
      </c>
      <c r="E8447" s="8">
        <v>215</v>
      </c>
    </row>
    <row r="8448" s="3" customFormat="1" ht="18.75" spans="1:5">
      <c r="A8448" s="8" t="str">
        <f t="shared" si="147"/>
        <v>250035</v>
      </c>
      <c r="B8448" s="8" t="str">
        <f>"2561409010813"</f>
        <v>2561409010813</v>
      </c>
      <c r="C8448" s="8" t="s">
        <v>15</v>
      </c>
      <c r="D8448" s="9">
        <v>52.53</v>
      </c>
      <c r="E8448" s="8">
        <v>217</v>
      </c>
    </row>
    <row r="8449" s="3" customFormat="1" ht="18.75" spans="1:5">
      <c r="A8449" s="8" t="str">
        <f t="shared" si="147"/>
        <v>250035</v>
      </c>
      <c r="B8449" s="8" t="str">
        <f>"2561409010911"</f>
        <v>2561409010911</v>
      </c>
      <c r="C8449" s="8" t="s">
        <v>15</v>
      </c>
      <c r="D8449" s="9">
        <v>52.52</v>
      </c>
      <c r="E8449" s="8">
        <v>218</v>
      </c>
    </row>
    <row r="8450" s="3" customFormat="1" ht="18.75" spans="1:5">
      <c r="A8450" s="8" t="str">
        <f t="shared" si="147"/>
        <v>250035</v>
      </c>
      <c r="B8450" s="8" t="str">
        <f>"2561409010523"</f>
        <v>2561409010523</v>
      </c>
      <c r="C8450" s="8" t="s">
        <v>15</v>
      </c>
      <c r="D8450" s="9">
        <v>52.45</v>
      </c>
      <c r="E8450" s="8">
        <v>219</v>
      </c>
    </row>
    <row r="8451" s="3" customFormat="1" ht="18.75" spans="1:5">
      <c r="A8451" s="8" t="str">
        <f t="shared" si="147"/>
        <v>250035</v>
      </c>
      <c r="B8451" s="8" t="str">
        <f>"2561409011012"</f>
        <v>2561409011012</v>
      </c>
      <c r="C8451" s="8" t="s">
        <v>15</v>
      </c>
      <c r="D8451" s="9">
        <v>52.38</v>
      </c>
      <c r="E8451" s="8">
        <v>220</v>
      </c>
    </row>
    <row r="8452" s="3" customFormat="1" ht="18.75" spans="1:5">
      <c r="A8452" s="8" t="str">
        <f t="shared" si="147"/>
        <v>250035</v>
      </c>
      <c r="B8452" s="8" t="str">
        <f>"2561409010713"</f>
        <v>2561409010713</v>
      </c>
      <c r="C8452" s="8" t="s">
        <v>15</v>
      </c>
      <c r="D8452" s="9">
        <v>52.34</v>
      </c>
      <c r="E8452" s="8">
        <v>221</v>
      </c>
    </row>
    <row r="8453" s="3" customFormat="1" ht="18.75" spans="1:5">
      <c r="A8453" s="8" t="str">
        <f t="shared" si="147"/>
        <v>250035</v>
      </c>
      <c r="B8453" s="8" t="str">
        <f>"2561409011128"</f>
        <v>2561409011128</v>
      </c>
      <c r="C8453" s="8" t="s">
        <v>15</v>
      </c>
      <c r="D8453" s="9">
        <v>52.22</v>
      </c>
      <c r="E8453" s="8">
        <v>222</v>
      </c>
    </row>
    <row r="8454" s="3" customFormat="1" ht="18.75" spans="1:5">
      <c r="A8454" s="8" t="str">
        <f t="shared" si="147"/>
        <v>250035</v>
      </c>
      <c r="B8454" s="8" t="str">
        <f>"2561409011705"</f>
        <v>2561409011705</v>
      </c>
      <c r="C8454" s="8" t="s">
        <v>15</v>
      </c>
      <c r="D8454" s="9">
        <v>52.01</v>
      </c>
      <c r="E8454" s="8">
        <v>223</v>
      </c>
    </row>
    <row r="8455" s="3" customFormat="1" ht="18.75" spans="1:5">
      <c r="A8455" s="8" t="str">
        <f t="shared" si="147"/>
        <v>250035</v>
      </c>
      <c r="B8455" s="8" t="str">
        <f>"2561409011706"</f>
        <v>2561409011706</v>
      </c>
      <c r="C8455" s="8" t="s">
        <v>15</v>
      </c>
      <c r="D8455" s="9">
        <v>51.94</v>
      </c>
      <c r="E8455" s="8">
        <v>224</v>
      </c>
    </row>
    <row r="8456" s="3" customFormat="1" ht="18.75" spans="1:5">
      <c r="A8456" s="8" t="str">
        <f t="shared" si="147"/>
        <v>250035</v>
      </c>
      <c r="B8456" s="8" t="str">
        <f>"2561409010328"</f>
        <v>2561409010328</v>
      </c>
      <c r="C8456" s="8" t="s">
        <v>15</v>
      </c>
      <c r="D8456" s="9">
        <v>51.93</v>
      </c>
      <c r="E8456" s="8">
        <v>225</v>
      </c>
    </row>
    <row r="8457" s="3" customFormat="1" ht="18.75" spans="1:5">
      <c r="A8457" s="8" t="str">
        <f t="shared" si="147"/>
        <v>250035</v>
      </c>
      <c r="B8457" s="8" t="str">
        <f>"2561409010314"</f>
        <v>2561409010314</v>
      </c>
      <c r="C8457" s="8" t="s">
        <v>15</v>
      </c>
      <c r="D8457" s="9">
        <v>51.89</v>
      </c>
      <c r="E8457" s="8">
        <v>226</v>
      </c>
    </row>
    <row r="8458" s="3" customFormat="1" ht="18.75" spans="1:5">
      <c r="A8458" s="8" t="str">
        <f t="shared" si="147"/>
        <v>250035</v>
      </c>
      <c r="B8458" s="8" t="str">
        <f>"2561409010908"</f>
        <v>2561409010908</v>
      </c>
      <c r="C8458" s="8" t="s">
        <v>15</v>
      </c>
      <c r="D8458" s="9">
        <v>51.89</v>
      </c>
      <c r="E8458" s="8">
        <v>226</v>
      </c>
    </row>
    <row r="8459" s="3" customFormat="1" ht="18.75" spans="1:5">
      <c r="A8459" s="8" t="str">
        <f t="shared" si="147"/>
        <v>250035</v>
      </c>
      <c r="B8459" s="8" t="str">
        <f>"2561409010707"</f>
        <v>2561409010707</v>
      </c>
      <c r="C8459" s="8" t="s">
        <v>15</v>
      </c>
      <c r="D8459" s="9">
        <v>51.86</v>
      </c>
      <c r="E8459" s="8">
        <v>228</v>
      </c>
    </row>
    <row r="8460" s="3" customFormat="1" ht="18.75" spans="1:5">
      <c r="A8460" s="8" t="str">
        <f t="shared" si="147"/>
        <v>250035</v>
      </c>
      <c r="B8460" s="8" t="str">
        <f>"2561409010627"</f>
        <v>2561409010627</v>
      </c>
      <c r="C8460" s="8" t="s">
        <v>15</v>
      </c>
      <c r="D8460" s="9">
        <v>51.82</v>
      </c>
      <c r="E8460" s="8">
        <v>229</v>
      </c>
    </row>
    <row r="8461" s="3" customFormat="1" ht="18.75" spans="1:5">
      <c r="A8461" s="8" t="str">
        <f t="shared" si="147"/>
        <v>250035</v>
      </c>
      <c r="B8461" s="8" t="str">
        <f>"2561409011315"</f>
        <v>2561409011315</v>
      </c>
      <c r="C8461" s="8" t="s">
        <v>15</v>
      </c>
      <c r="D8461" s="9">
        <v>51.77</v>
      </c>
      <c r="E8461" s="8">
        <v>230</v>
      </c>
    </row>
    <row r="8462" s="3" customFormat="1" ht="18.75" spans="1:5">
      <c r="A8462" s="8" t="str">
        <f t="shared" si="147"/>
        <v>250035</v>
      </c>
      <c r="B8462" s="8" t="str">
        <f>"2561409010718"</f>
        <v>2561409010718</v>
      </c>
      <c r="C8462" s="8" t="s">
        <v>15</v>
      </c>
      <c r="D8462" s="9">
        <v>51.58</v>
      </c>
      <c r="E8462" s="8">
        <v>231</v>
      </c>
    </row>
    <row r="8463" s="3" customFormat="1" ht="18.75" spans="1:5">
      <c r="A8463" s="8" t="str">
        <f t="shared" si="147"/>
        <v>250035</v>
      </c>
      <c r="B8463" s="8" t="str">
        <f>"2561409010410"</f>
        <v>2561409010410</v>
      </c>
      <c r="C8463" s="8" t="s">
        <v>15</v>
      </c>
      <c r="D8463" s="9">
        <v>51.56</v>
      </c>
      <c r="E8463" s="8">
        <v>232</v>
      </c>
    </row>
    <row r="8464" s="3" customFormat="1" ht="18.75" spans="1:5">
      <c r="A8464" s="8" t="str">
        <f t="shared" si="147"/>
        <v>250035</v>
      </c>
      <c r="B8464" s="8" t="str">
        <f>"2561409011106"</f>
        <v>2561409011106</v>
      </c>
      <c r="C8464" s="8" t="s">
        <v>15</v>
      </c>
      <c r="D8464" s="9">
        <v>51.51</v>
      </c>
      <c r="E8464" s="8">
        <v>233</v>
      </c>
    </row>
    <row r="8465" s="3" customFormat="1" ht="18.75" spans="1:5">
      <c r="A8465" s="8" t="str">
        <f t="shared" si="147"/>
        <v>250035</v>
      </c>
      <c r="B8465" s="8" t="str">
        <f>"2561409010204"</f>
        <v>2561409010204</v>
      </c>
      <c r="C8465" s="8" t="s">
        <v>15</v>
      </c>
      <c r="D8465" s="9">
        <v>51.45</v>
      </c>
      <c r="E8465" s="8">
        <v>234</v>
      </c>
    </row>
    <row r="8466" s="3" customFormat="1" ht="18.75" spans="1:5">
      <c r="A8466" s="8" t="str">
        <f t="shared" si="147"/>
        <v>250035</v>
      </c>
      <c r="B8466" s="8" t="str">
        <f>"2561409010214"</f>
        <v>2561409010214</v>
      </c>
      <c r="C8466" s="8" t="s">
        <v>15</v>
      </c>
      <c r="D8466" s="9">
        <v>51.43</v>
      </c>
      <c r="E8466" s="8">
        <v>235</v>
      </c>
    </row>
    <row r="8467" s="3" customFormat="1" ht="18.75" spans="1:5">
      <c r="A8467" s="8" t="str">
        <f t="shared" si="147"/>
        <v>250035</v>
      </c>
      <c r="B8467" s="8" t="str">
        <f>"2561409010311"</f>
        <v>2561409010311</v>
      </c>
      <c r="C8467" s="8" t="s">
        <v>15</v>
      </c>
      <c r="D8467" s="9">
        <v>51.42</v>
      </c>
      <c r="E8467" s="8">
        <v>236</v>
      </c>
    </row>
    <row r="8468" s="3" customFormat="1" ht="18.75" spans="1:5">
      <c r="A8468" s="8" t="str">
        <f t="shared" si="147"/>
        <v>250035</v>
      </c>
      <c r="B8468" s="8" t="str">
        <f>"2561409011224"</f>
        <v>2561409011224</v>
      </c>
      <c r="C8468" s="8" t="s">
        <v>15</v>
      </c>
      <c r="D8468" s="9">
        <v>51.41</v>
      </c>
      <c r="E8468" s="8">
        <v>237</v>
      </c>
    </row>
    <row r="8469" s="3" customFormat="1" ht="18.75" spans="1:5">
      <c r="A8469" s="8" t="str">
        <f t="shared" si="147"/>
        <v>250035</v>
      </c>
      <c r="B8469" s="8" t="str">
        <f>"2561409011022"</f>
        <v>2561409011022</v>
      </c>
      <c r="C8469" s="8" t="s">
        <v>15</v>
      </c>
      <c r="D8469" s="9">
        <v>51.14</v>
      </c>
      <c r="E8469" s="8">
        <v>238</v>
      </c>
    </row>
    <row r="8470" s="3" customFormat="1" ht="18.75" spans="1:5">
      <c r="A8470" s="8" t="str">
        <f t="shared" si="147"/>
        <v>250035</v>
      </c>
      <c r="B8470" s="8" t="str">
        <f>"2561409010216"</f>
        <v>2561409010216</v>
      </c>
      <c r="C8470" s="8" t="s">
        <v>15</v>
      </c>
      <c r="D8470" s="9">
        <v>51.1</v>
      </c>
      <c r="E8470" s="8">
        <v>239</v>
      </c>
    </row>
    <row r="8471" s="3" customFormat="1" ht="18.75" spans="1:5">
      <c r="A8471" s="8" t="str">
        <f t="shared" si="147"/>
        <v>250035</v>
      </c>
      <c r="B8471" s="8" t="str">
        <f>"2561409010516"</f>
        <v>2561409010516</v>
      </c>
      <c r="C8471" s="8" t="s">
        <v>15</v>
      </c>
      <c r="D8471" s="9">
        <v>51</v>
      </c>
      <c r="E8471" s="8">
        <v>240</v>
      </c>
    </row>
    <row r="8472" s="3" customFormat="1" ht="18.75" spans="1:5">
      <c r="A8472" s="8" t="str">
        <f t="shared" si="147"/>
        <v>250035</v>
      </c>
      <c r="B8472" s="8" t="str">
        <f>"2561409011112"</f>
        <v>2561409011112</v>
      </c>
      <c r="C8472" s="8" t="s">
        <v>15</v>
      </c>
      <c r="D8472" s="9">
        <v>50.96</v>
      </c>
      <c r="E8472" s="8">
        <v>241</v>
      </c>
    </row>
    <row r="8473" s="3" customFormat="1" ht="18.75" spans="1:5">
      <c r="A8473" s="8" t="str">
        <f t="shared" si="147"/>
        <v>250035</v>
      </c>
      <c r="B8473" s="8" t="str">
        <f>"2561409010414"</f>
        <v>2561409010414</v>
      </c>
      <c r="C8473" s="8" t="s">
        <v>15</v>
      </c>
      <c r="D8473" s="9">
        <v>50.92</v>
      </c>
      <c r="E8473" s="8">
        <v>242</v>
      </c>
    </row>
    <row r="8474" s="3" customFormat="1" ht="18.75" spans="1:5">
      <c r="A8474" s="8" t="str">
        <f t="shared" si="147"/>
        <v>250035</v>
      </c>
      <c r="B8474" s="8" t="str">
        <f>"2561409011321"</f>
        <v>2561409011321</v>
      </c>
      <c r="C8474" s="8" t="s">
        <v>15</v>
      </c>
      <c r="D8474" s="9">
        <v>50.85</v>
      </c>
      <c r="E8474" s="8">
        <v>243</v>
      </c>
    </row>
    <row r="8475" s="3" customFormat="1" ht="18.75" spans="1:5">
      <c r="A8475" s="8" t="str">
        <f t="shared" si="147"/>
        <v>250035</v>
      </c>
      <c r="B8475" s="8" t="str">
        <f>"2561409010822"</f>
        <v>2561409010822</v>
      </c>
      <c r="C8475" s="8" t="s">
        <v>15</v>
      </c>
      <c r="D8475" s="9">
        <v>50.66</v>
      </c>
      <c r="E8475" s="8">
        <v>244</v>
      </c>
    </row>
    <row r="8476" s="3" customFormat="1" ht="18.75" spans="1:5">
      <c r="A8476" s="8" t="str">
        <f t="shared" si="147"/>
        <v>250035</v>
      </c>
      <c r="B8476" s="8" t="str">
        <f>"2561409010113"</f>
        <v>2561409010113</v>
      </c>
      <c r="C8476" s="8" t="s">
        <v>15</v>
      </c>
      <c r="D8476" s="9">
        <v>50.63</v>
      </c>
      <c r="E8476" s="8">
        <v>245</v>
      </c>
    </row>
    <row r="8477" s="3" customFormat="1" ht="18.75" spans="1:5">
      <c r="A8477" s="8" t="str">
        <f t="shared" si="147"/>
        <v>250035</v>
      </c>
      <c r="B8477" s="8" t="str">
        <f>"2561409011308"</f>
        <v>2561409011308</v>
      </c>
      <c r="C8477" s="8" t="s">
        <v>15</v>
      </c>
      <c r="D8477" s="9">
        <v>50.54</v>
      </c>
      <c r="E8477" s="8">
        <v>246</v>
      </c>
    </row>
    <row r="8478" s="3" customFormat="1" ht="18.75" spans="1:5">
      <c r="A8478" s="8" t="str">
        <f t="shared" si="147"/>
        <v>250035</v>
      </c>
      <c r="B8478" s="8" t="str">
        <f>"2561409011211"</f>
        <v>2561409011211</v>
      </c>
      <c r="C8478" s="8" t="s">
        <v>15</v>
      </c>
      <c r="D8478" s="9">
        <v>50.49</v>
      </c>
      <c r="E8478" s="8">
        <v>247</v>
      </c>
    </row>
    <row r="8479" s="3" customFormat="1" ht="18.75" spans="1:5">
      <c r="A8479" s="8" t="str">
        <f t="shared" si="147"/>
        <v>250035</v>
      </c>
      <c r="B8479" s="8" t="str">
        <f>"2561409011520"</f>
        <v>2561409011520</v>
      </c>
      <c r="C8479" s="8" t="s">
        <v>15</v>
      </c>
      <c r="D8479" s="9">
        <v>50.46</v>
      </c>
      <c r="E8479" s="8">
        <v>248</v>
      </c>
    </row>
    <row r="8480" s="3" customFormat="1" ht="18.75" spans="1:5">
      <c r="A8480" s="8" t="str">
        <f t="shared" si="147"/>
        <v>250035</v>
      </c>
      <c r="B8480" s="8" t="str">
        <f>"2561409011717"</f>
        <v>2561409011717</v>
      </c>
      <c r="C8480" s="8" t="s">
        <v>15</v>
      </c>
      <c r="D8480" s="9">
        <v>50.43</v>
      </c>
      <c r="E8480" s="8">
        <v>249</v>
      </c>
    </row>
    <row r="8481" s="3" customFormat="1" ht="18.75" spans="1:5">
      <c r="A8481" s="8" t="str">
        <f t="shared" si="147"/>
        <v>250035</v>
      </c>
      <c r="B8481" s="8" t="str">
        <f>"2561409010616"</f>
        <v>2561409010616</v>
      </c>
      <c r="C8481" s="8" t="s">
        <v>15</v>
      </c>
      <c r="D8481" s="9">
        <v>50.42</v>
      </c>
      <c r="E8481" s="8">
        <v>250</v>
      </c>
    </row>
    <row r="8482" s="3" customFormat="1" ht="18.75" spans="1:5">
      <c r="A8482" s="8" t="str">
        <f t="shared" si="147"/>
        <v>250035</v>
      </c>
      <c r="B8482" s="8" t="str">
        <f>"2561409011116"</f>
        <v>2561409011116</v>
      </c>
      <c r="C8482" s="8" t="s">
        <v>15</v>
      </c>
      <c r="D8482" s="9">
        <v>50.39</v>
      </c>
      <c r="E8482" s="8">
        <v>251</v>
      </c>
    </row>
    <row r="8483" s="3" customFormat="1" ht="18.75" spans="1:5">
      <c r="A8483" s="8" t="str">
        <f t="shared" si="147"/>
        <v>250035</v>
      </c>
      <c r="B8483" s="8" t="str">
        <f>"2561409011227"</f>
        <v>2561409011227</v>
      </c>
      <c r="C8483" s="8" t="s">
        <v>15</v>
      </c>
      <c r="D8483" s="9">
        <v>50.27</v>
      </c>
      <c r="E8483" s="8">
        <v>252</v>
      </c>
    </row>
    <row r="8484" s="3" customFormat="1" ht="18.75" spans="1:5">
      <c r="A8484" s="8" t="str">
        <f t="shared" si="147"/>
        <v>250035</v>
      </c>
      <c r="B8484" s="8" t="str">
        <f>"2561409011707"</f>
        <v>2561409011707</v>
      </c>
      <c r="C8484" s="8" t="s">
        <v>15</v>
      </c>
      <c r="D8484" s="9">
        <v>50.23</v>
      </c>
      <c r="E8484" s="8">
        <v>253</v>
      </c>
    </row>
    <row r="8485" s="3" customFormat="1" ht="18.75" spans="1:5">
      <c r="A8485" s="8" t="str">
        <f t="shared" si="147"/>
        <v>250035</v>
      </c>
      <c r="B8485" s="8" t="str">
        <f>"2561409010603"</f>
        <v>2561409010603</v>
      </c>
      <c r="C8485" s="8" t="s">
        <v>15</v>
      </c>
      <c r="D8485" s="9">
        <v>50.21</v>
      </c>
      <c r="E8485" s="8">
        <v>254</v>
      </c>
    </row>
    <row r="8486" s="3" customFormat="1" ht="18.75" spans="1:5">
      <c r="A8486" s="8" t="str">
        <f t="shared" si="147"/>
        <v>250035</v>
      </c>
      <c r="B8486" s="8" t="str">
        <f>"2561409010716"</f>
        <v>2561409010716</v>
      </c>
      <c r="C8486" s="8" t="s">
        <v>15</v>
      </c>
      <c r="D8486" s="9">
        <v>50.12</v>
      </c>
      <c r="E8486" s="8">
        <v>255</v>
      </c>
    </row>
    <row r="8487" s="3" customFormat="1" ht="18.75" spans="1:5">
      <c r="A8487" s="8" t="str">
        <f t="shared" si="147"/>
        <v>250035</v>
      </c>
      <c r="B8487" s="8" t="str">
        <f>"2561409011324"</f>
        <v>2561409011324</v>
      </c>
      <c r="C8487" s="8" t="s">
        <v>15</v>
      </c>
      <c r="D8487" s="9">
        <v>50.01</v>
      </c>
      <c r="E8487" s="8">
        <v>256</v>
      </c>
    </row>
    <row r="8488" s="3" customFormat="1" ht="18.75" spans="1:5">
      <c r="A8488" s="8" t="str">
        <f t="shared" ref="A8488:A8551" si="148">"250035"</f>
        <v>250035</v>
      </c>
      <c r="B8488" s="8" t="str">
        <f>"2561409011230"</f>
        <v>2561409011230</v>
      </c>
      <c r="C8488" s="8" t="s">
        <v>15</v>
      </c>
      <c r="D8488" s="9">
        <v>50</v>
      </c>
      <c r="E8488" s="8">
        <v>257</v>
      </c>
    </row>
    <row r="8489" s="3" customFormat="1" ht="18.75" spans="1:5">
      <c r="A8489" s="8" t="str">
        <f t="shared" si="148"/>
        <v>250035</v>
      </c>
      <c r="B8489" s="8" t="str">
        <f>"2561409010719"</f>
        <v>2561409010719</v>
      </c>
      <c r="C8489" s="8" t="s">
        <v>15</v>
      </c>
      <c r="D8489" s="9">
        <v>49.94</v>
      </c>
      <c r="E8489" s="8">
        <v>258</v>
      </c>
    </row>
    <row r="8490" s="3" customFormat="1" ht="18.75" spans="1:5">
      <c r="A8490" s="8" t="str">
        <f t="shared" si="148"/>
        <v>250035</v>
      </c>
      <c r="B8490" s="8" t="str">
        <f>"2561409010605"</f>
        <v>2561409010605</v>
      </c>
      <c r="C8490" s="8" t="s">
        <v>15</v>
      </c>
      <c r="D8490" s="9">
        <v>49.89</v>
      </c>
      <c r="E8490" s="8">
        <v>259</v>
      </c>
    </row>
    <row r="8491" s="3" customFormat="1" ht="18.75" spans="1:5">
      <c r="A8491" s="8" t="str">
        <f t="shared" si="148"/>
        <v>250035</v>
      </c>
      <c r="B8491" s="8" t="str">
        <f>"2561409011307"</f>
        <v>2561409011307</v>
      </c>
      <c r="C8491" s="8" t="s">
        <v>15</v>
      </c>
      <c r="D8491" s="9">
        <v>49.83</v>
      </c>
      <c r="E8491" s="8">
        <v>260</v>
      </c>
    </row>
    <row r="8492" s="3" customFormat="1" ht="18.75" spans="1:5">
      <c r="A8492" s="8" t="str">
        <f t="shared" si="148"/>
        <v>250035</v>
      </c>
      <c r="B8492" s="8" t="str">
        <f>"2561409010415"</f>
        <v>2561409010415</v>
      </c>
      <c r="C8492" s="8" t="s">
        <v>15</v>
      </c>
      <c r="D8492" s="9">
        <v>49.7</v>
      </c>
      <c r="E8492" s="8">
        <v>261</v>
      </c>
    </row>
    <row r="8493" s="3" customFormat="1" ht="18.75" spans="1:5">
      <c r="A8493" s="8" t="str">
        <f t="shared" si="148"/>
        <v>250035</v>
      </c>
      <c r="B8493" s="8" t="str">
        <f>"2561409011403"</f>
        <v>2561409011403</v>
      </c>
      <c r="C8493" s="8" t="s">
        <v>15</v>
      </c>
      <c r="D8493" s="9">
        <v>49.69</v>
      </c>
      <c r="E8493" s="8">
        <v>262</v>
      </c>
    </row>
    <row r="8494" s="3" customFormat="1" ht="18.75" spans="1:5">
      <c r="A8494" s="8" t="str">
        <f t="shared" si="148"/>
        <v>250035</v>
      </c>
      <c r="B8494" s="8" t="str">
        <f>"2561409011702"</f>
        <v>2561409011702</v>
      </c>
      <c r="C8494" s="8" t="s">
        <v>15</v>
      </c>
      <c r="D8494" s="9">
        <v>49.64</v>
      </c>
      <c r="E8494" s="8">
        <v>263</v>
      </c>
    </row>
    <row r="8495" s="3" customFormat="1" ht="18.75" spans="1:5">
      <c r="A8495" s="8" t="str">
        <f t="shared" si="148"/>
        <v>250035</v>
      </c>
      <c r="B8495" s="8" t="str">
        <f>"2561409010117"</f>
        <v>2561409010117</v>
      </c>
      <c r="C8495" s="8" t="s">
        <v>15</v>
      </c>
      <c r="D8495" s="9">
        <v>49.62</v>
      </c>
      <c r="E8495" s="8">
        <v>264</v>
      </c>
    </row>
    <row r="8496" s="3" customFormat="1" ht="18.75" spans="1:5">
      <c r="A8496" s="8" t="str">
        <f t="shared" si="148"/>
        <v>250035</v>
      </c>
      <c r="B8496" s="8" t="str">
        <f>"2561409011609"</f>
        <v>2561409011609</v>
      </c>
      <c r="C8496" s="8" t="s">
        <v>15</v>
      </c>
      <c r="D8496" s="9">
        <v>49.36</v>
      </c>
      <c r="E8496" s="8">
        <v>265</v>
      </c>
    </row>
    <row r="8497" s="3" customFormat="1" ht="18.75" spans="1:5">
      <c r="A8497" s="8" t="str">
        <f t="shared" si="148"/>
        <v>250035</v>
      </c>
      <c r="B8497" s="8" t="str">
        <f>"2561409011525"</f>
        <v>2561409011525</v>
      </c>
      <c r="C8497" s="8" t="s">
        <v>15</v>
      </c>
      <c r="D8497" s="9">
        <v>49.27</v>
      </c>
      <c r="E8497" s="8">
        <v>266</v>
      </c>
    </row>
    <row r="8498" s="3" customFormat="1" ht="18.75" spans="1:5">
      <c r="A8498" s="8" t="str">
        <f t="shared" si="148"/>
        <v>250035</v>
      </c>
      <c r="B8498" s="8" t="str">
        <f>"2561409011309"</f>
        <v>2561409011309</v>
      </c>
      <c r="C8498" s="8" t="s">
        <v>15</v>
      </c>
      <c r="D8498" s="9">
        <v>49.22</v>
      </c>
      <c r="E8498" s="8">
        <v>267</v>
      </c>
    </row>
    <row r="8499" s="3" customFormat="1" ht="18.75" spans="1:5">
      <c r="A8499" s="8" t="str">
        <f t="shared" si="148"/>
        <v>250035</v>
      </c>
      <c r="B8499" s="8" t="str">
        <f>"2561409011708"</f>
        <v>2561409011708</v>
      </c>
      <c r="C8499" s="8" t="s">
        <v>15</v>
      </c>
      <c r="D8499" s="9">
        <v>49.21</v>
      </c>
      <c r="E8499" s="8">
        <v>268</v>
      </c>
    </row>
    <row r="8500" s="3" customFormat="1" ht="18.75" spans="1:5">
      <c r="A8500" s="8" t="str">
        <f t="shared" si="148"/>
        <v>250035</v>
      </c>
      <c r="B8500" s="8" t="str">
        <f>"2561409010327"</f>
        <v>2561409010327</v>
      </c>
      <c r="C8500" s="8" t="s">
        <v>15</v>
      </c>
      <c r="D8500" s="9">
        <v>49.11</v>
      </c>
      <c r="E8500" s="8">
        <v>269</v>
      </c>
    </row>
    <row r="8501" s="3" customFormat="1" ht="18.75" spans="1:5">
      <c r="A8501" s="8" t="str">
        <f t="shared" si="148"/>
        <v>250035</v>
      </c>
      <c r="B8501" s="8" t="str">
        <f>"2561409010509"</f>
        <v>2561409010509</v>
      </c>
      <c r="C8501" s="8" t="s">
        <v>15</v>
      </c>
      <c r="D8501" s="9">
        <v>48.94</v>
      </c>
      <c r="E8501" s="8">
        <v>270</v>
      </c>
    </row>
    <row r="8502" s="3" customFormat="1" ht="18.75" spans="1:5">
      <c r="A8502" s="8" t="str">
        <f t="shared" si="148"/>
        <v>250035</v>
      </c>
      <c r="B8502" s="8" t="str">
        <f>"2561409011008"</f>
        <v>2561409011008</v>
      </c>
      <c r="C8502" s="8" t="s">
        <v>15</v>
      </c>
      <c r="D8502" s="9">
        <v>48.54</v>
      </c>
      <c r="E8502" s="8">
        <v>271</v>
      </c>
    </row>
    <row r="8503" s="3" customFormat="1" ht="18.75" spans="1:5">
      <c r="A8503" s="8" t="str">
        <f t="shared" si="148"/>
        <v>250035</v>
      </c>
      <c r="B8503" s="8" t="str">
        <f>"2561409011317"</f>
        <v>2561409011317</v>
      </c>
      <c r="C8503" s="8" t="s">
        <v>15</v>
      </c>
      <c r="D8503" s="9">
        <v>48.54</v>
      </c>
      <c r="E8503" s="8">
        <v>271</v>
      </c>
    </row>
    <row r="8504" s="3" customFormat="1" ht="18.75" spans="1:5">
      <c r="A8504" s="8" t="str">
        <f t="shared" si="148"/>
        <v>250035</v>
      </c>
      <c r="B8504" s="8" t="str">
        <f>"2561409011214"</f>
        <v>2561409011214</v>
      </c>
      <c r="C8504" s="8" t="s">
        <v>15</v>
      </c>
      <c r="D8504" s="9">
        <v>48.5</v>
      </c>
      <c r="E8504" s="8">
        <v>273</v>
      </c>
    </row>
    <row r="8505" s="3" customFormat="1" ht="18.75" spans="1:5">
      <c r="A8505" s="8" t="str">
        <f t="shared" si="148"/>
        <v>250035</v>
      </c>
      <c r="B8505" s="8" t="str">
        <f>"2561409011709"</f>
        <v>2561409011709</v>
      </c>
      <c r="C8505" s="8" t="s">
        <v>15</v>
      </c>
      <c r="D8505" s="9">
        <v>48.32</v>
      </c>
      <c r="E8505" s="8">
        <v>274</v>
      </c>
    </row>
    <row r="8506" s="3" customFormat="1" ht="18.75" spans="1:5">
      <c r="A8506" s="8" t="str">
        <f t="shared" si="148"/>
        <v>250035</v>
      </c>
      <c r="B8506" s="8" t="str">
        <f>"2561409010929"</f>
        <v>2561409010929</v>
      </c>
      <c r="C8506" s="8" t="s">
        <v>15</v>
      </c>
      <c r="D8506" s="9">
        <v>48.3</v>
      </c>
      <c r="E8506" s="8">
        <v>275</v>
      </c>
    </row>
    <row r="8507" s="3" customFormat="1" ht="18.75" spans="1:5">
      <c r="A8507" s="8" t="str">
        <f t="shared" si="148"/>
        <v>250035</v>
      </c>
      <c r="B8507" s="8" t="str">
        <f>"2561409011130"</f>
        <v>2561409011130</v>
      </c>
      <c r="C8507" s="8" t="s">
        <v>15</v>
      </c>
      <c r="D8507" s="9">
        <v>48.29</v>
      </c>
      <c r="E8507" s="8">
        <v>276</v>
      </c>
    </row>
    <row r="8508" s="3" customFormat="1" ht="18.75" spans="1:5">
      <c r="A8508" s="8" t="str">
        <f t="shared" si="148"/>
        <v>250035</v>
      </c>
      <c r="B8508" s="8" t="str">
        <f>"2561409010913"</f>
        <v>2561409010913</v>
      </c>
      <c r="C8508" s="8" t="s">
        <v>15</v>
      </c>
      <c r="D8508" s="9">
        <v>48.25</v>
      </c>
      <c r="E8508" s="8">
        <v>277</v>
      </c>
    </row>
    <row r="8509" s="3" customFormat="1" ht="18.75" spans="1:5">
      <c r="A8509" s="8" t="str">
        <f t="shared" si="148"/>
        <v>250035</v>
      </c>
      <c r="B8509" s="8" t="str">
        <f>"2561409011223"</f>
        <v>2561409011223</v>
      </c>
      <c r="C8509" s="8" t="s">
        <v>15</v>
      </c>
      <c r="D8509" s="9">
        <v>48.09</v>
      </c>
      <c r="E8509" s="8">
        <v>278</v>
      </c>
    </row>
    <row r="8510" s="3" customFormat="1" ht="18.75" spans="1:5">
      <c r="A8510" s="8" t="str">
        <f t="shared" si="148"/>
        <v>250035</v>
      </c>
      <c r="B8510" s="8" t="str">
        <f>"2561409010217"</f>
        <v>2561409010217</v>
      </c>
      <c r="C8510" s="8" t="s">
        <v>15</v>
      </c>
      <c r="D8510" s="9">
        <v>48</v>
      </c>
      <c r="E8510" s="8">
        <v>279</v>
      </c>
    </row>
    <row r="8511" s="3" customFormat="1" ht="18.75" spans="1:5">
      <c r="A8511" s="8" t="str">
        <f t="shared" si="148"/>
        <v>250035</v>
      </c>
      <c r="B8511" s="8" t="str">
        <f>"2561409011311"</f>
        <v>2561409011311</v>
      </c>
      <c r="C8511" s="8" t="s">
        <v>15</v>
      </c>
      <c r="D8511" s="9">
        <v>47.92</v>
      </c>
      <c r="E8511" s="8">
        <v>280</v>
      </c>
    </row>
    <row r="8512" s="3" customFormat="1" ht="18.75" spans="1:5">
      <c r="A8512" s="8" t="str">
        <f t="shared" si="148"/>
        <v>250035</v>
      </c>
      <c r="B8512" s="8" t="str">
        <f>"2561409011105"</f>
        <v>2561409011105</v>
      </c>
      <c r="C8512" s="8" t="s">
        <v>15</v>
      </c>
      <c r="D8512" s="9">
        <v>47.6</v>
      </c>
      <c r="E8512" s="8">
        <v>281</v>
      </c>
    </row>
    <row r="8513" s="3" customFormat="1" ht="18.75" spans="1:5">
      <c r="A8513" s="8" t="str">
        <f t="shared" si="148"/>
        <v>250035</v>
      </c>
      <c r="B8513" s="8" t="str">
        <f>"2561409010819"</f>
        <v>2561409010819</v>
      </c>
      <c r="C8513" s="8" t="s">
        <v>15</v>
      </c>
      <c r="D8513" s="9">
        <v>47.52</v>
      </c>
      <c r="E8513" s="8">
        <v>282</v>
      </c>
    </row>
    <row r="8514" s="3" customFormat="1" ht="18.75" spans="1:5">
      <c r="A8514" s="8" t="str">
        <f t="shared" si="148"/>
        <v>250035</v>
      </c>
      <c r="B8514" s="8" t="str">
        <f>"2561409011226"</f>
        <v>2561409011226</v>
      </c>
      <c r="C8514" s="8" t="s">
        <v>15</v>
      </c>
      <c r="D8514" s="9">
        <v>47.43</v>
      </c>
      <c r="E8514" s="8">
        <v>283</v>
      </c>
    </row>
    <row r="8515" s="3" customFormat="1" ht="18.75" spans="1:5">
      <c r="A8515" s="8" t="str">
        <f t="shared" si="148"/>
        <v>250035</v>
      </c>
      <c r="B8515" s="8" t="str">
        <f>"2561409010624"</f>
        <v>2561409010624</v>
      </c>
      <c r="C8515" s="8" t="s">
        <v>15</v>
      </c>
      <c r="D8515" s="9">
        <v>47.42</v>
      </c>
      <c r="E8515" s="8">
        <v>284</v>
      </c>
    </row>
    <row r="8516" s="3" customFormat="1" ht="18.75" spans="1:5">
      <c r="A8516" s="8" t="str">
        <f t="shared" si="148"/>
        <v>250035</v>
      </c>
      <c r="B8516" s="8" t="str">
        <f>"2561409011007"</f>
        <v>2561409011007</v>
      </c>
      <c r="C8516" s="8" t="s">
        <v>15</v>
      </c>
      <c r="D8516" s="9">
        <v>47.37</v>
      </c>
      <c r="E8516" s="8">
        <v>285</v>
      </c>
    </row>
    <row r="8517" s="3" customFormat="1" ht="18.75" spans="1:5">
      <c r="A8517" s="8" t="str">
        <f t="shared" si="148"/>
        <v>250035</v>
      </c>
      <c r="B8517" s="8" t="str">
        <f>"2561409010105"</f>
        <v>2561409010105</v>
      </c>
      <c r="C8517" s="8" t="s">
        <v>15</v>
      </c>
      <c r="D8517" s="9">
        <v>47.34</v>
      </c>
      <c r="E8517" s="8">
        <v>286</v>
      </c>
    </row>
    <row r="8518" s="3" customFormat="1" ht="18.75" spans="1:5">
      <c r="A8518" s="8" t="str">
        <f t="shared" si="148"/>
        <v>250035</v>
      </c>
      <c r="B8518" s="8" t="str">
        <f>"2561409010425"</f>
        <v>2561409010425</v>
      </c>
      <c r="C8518" s="8" t="s">
        <v>15</v>
      </c>
      <c r="D8518" s="9">
        <v>47.33</v>
      </c>
      <c r="E8518" s="8">
        <v>287</v>
      </c>
    </row>
    <row r="8519" s="3" customFormat="1" ht="18.75" spans="1:5">
      <c r="A8519" s="8" t="str">
        <f t="shared" si="148"/>
        <v>250035</v>
      </c>
      <c r="B8519" s="8" t="str">
        <f>"2561409010505"</f>
        <v>2561409010505</v>
      </c>
      <c r="C8519" s="8" t="s">
        <v>15</v>
      </c>
      <c r="D8519" s="9">
        <v>47.32</v>
      </c>
      <c r="E8519" s="8">
        <v>288</v>
      </c>
    </row>
    <row r="8520" s="3" customFormat="1" ht="18.75" spans="1:5">
      <c r="A8520" s="8" t="str">
        <f t="shared" si="148"/>
        <v>250035</v>
      </c>
      <c r="B8520" s="8" t="str">
        <f>"2561409010518"</f>
        <v>2561409010518</v>
      </c>
      <c r="C8520" s="8" t="s">
        <v>15</v>
      </c>
      <c r="D8520" s="9">
        <v>47.22</v>
      </c>
      <c r="E8520" s="8">
        <v>289</v>
      </c>
    </row>
    <row r="8521" s="3" customFormat="1" ht="18.75" spans="1:5">
      <c r="A8521" s="8" t="str">
        <f t="shared" si="148"/>
        <v>250035</v>
      </c>
      <c r="B8521" s="8" t="str">
        <f>"2561409011412"</f>
        <v>2561409011412</v>
      </c>
      <c r="C8521" s="8" t="s">
        <v>15</v>
      </c>
      <c r="D8521" s="9">
        <v>47.08</v>
      </c>
      <c r="E8521" s="8">
        <v>290</v>
      </c>
    </row>
    <row r="8522" s="3" customFormat="1" ht="18.75" spans="1:5">
      <c r="A8522" s="8" t="str">
        <f t="shared" si="148"/>
        <v>250035</v>
      </c>
      <c r="B8522" s="8" t="str">
        <f>"2561409011115"</f>
        <v>2561409011115</v>
      </c>
      <c r="C8522" s="8" t="s">
        <v>15</v>
      </c>
      <c r="D8522" s="9">
        <v>47.05</v>
      </c>
      <c r="E8522" s="8">
        <v>291</v>
      </c>
    </row>
    <row r="8523" s="3" customFormat="1" ht="18.75" spans="1:5">
      <c r="A8523" s="8" t="str">
        <f t="shared" si="148"/>
        <v>250035</v>
      </c>
      <c r="B8523" s="8" t="str">
        <f>"2561409010106"</f>
        <v>2561409010106</v>
      </c>
      <c r="C8523" s="8" t="s">
        <v>15</v>
      </c>
      <c r="D8523" s="9">
        <v>46.8</v>
      </c>
      <c r="E8523" s="8">
        <v>292</v>
      </c>
    </row>
    <row r="8524" s="3" customFormat="1" ht="18.75" spans="1:5">
      <c r="A8524" s="8" t="str">
        <f t="shared" si="148"/>
        <v>250035</v>
      </c>
      <c r="B8524" s="8" t="str">
        <f>"2561409011114"</f>
        <v>2561409011114</v>
      </c>
      <c r="C8524" s="8" t="s">
        <v>15</v>
      </c>
      <c r="D8524" s="9">
        <v>46.71</v>
      </c>
      <c r="E8524" s="8">
        <v>293</v>
      </c>
    </row>
    <row r="8525" s="3" customFormat="1" ht="18.75" spans="1:5">
      <c r="A8525" s="8" t="str">
        <f t="shared" si="148"/>
        <v>250035</v>
      </c>
      <c r="B8525" s="8" t="str">
        <f>"2561409010506"</f>
        <v>2561409010506</v>
      </c>
      <c r="C8525" s="8" t="s">
        <v>15</v>
      </c>
      <c r="D8525" s="9">
        <v>46.59</v>
      </c>
      <c r="E8525" s="8">
        <v>294</v>
      </c>
    </row>
    <row r="8526" s="3" customFormat="1" ht="18.75" spans="1:5">
      <c r="A8526" s="8" t="str">
        <f t="shared" si="148"/>
        <v>250035</v>
      </c>
      <c r="B8526" s="8" t="str">
        <f>"2561409010209"</f>
        <v>2561409010209</v>
      </c>
      <c r="C8526" s="8" t="s">
        <v>15</v>
      </c>
      <c r="D8526" s="9">
        <v>46.55</v>
      </c>
      <c r="E8526" s="8">
        <v>295</v>
      </c>
    </row>
    <row r="8527" s="3" customFormat="1" ht="18.75" spans="1:5">
      <c r="A8527" s="8" t="str">
        <f t="shared" si="148"/>
        <v>250035</v>
      </c>
      <c r="B8527" s="8" t="str">
        <f>"2561409010324"</f>
        <v>2561409010324</v>
      </c>
      <c r="C8527" s="8" t="s">
        <v>15</v>
      </c>
      <c r="D8527" s="9">
        <v>46.47</v>
      </c>
      <c r="E8527" s="8">
        <v>296</v>
      </c>
    </row>
    <row r="8528" s="3" customFormat="1" ht="18.75" spans="1:5">
      <c r="A8528" s="8" t="str">
        <f t="shared" si="148"/>
        <v>250035</v>
      </c>
      <c r="B8528" s="8" t="str">
        <f>"2561409010403"</f>
        <v>2561409010403</v>
      </c>
      <c r="C8528" s="8" t="s">
        <v>15</v>
      </c>
      <c r="D8528" s="9">
        <v>46.23</v>
      </c>
      <c r="E8528" s="8">
        <v>297</v>
      </c>
    </row>
    <row r="8529" s="3" customFormat="1" ht="18.75" spans="1:5">
      <c r="A8529" s="8" t="str">
        <f t="shared" si="148"/>
        <v>250035</v>
      </c>
      <c r="B8529" s="8" t="str">
        <f>"2561409011213"</f>
        <v>2561409011213</v>
      </c>
      <c r="C8529" s="8" t="s">
        <v>15</v>
      </c>
      <c r="D8529" s="9">
        <v>46.04</v>
      </c>
      <c r="E8529" s="8">
        <v>298</v>
      </c>
    </row>
    <row r="8530" s="3" customFormat="1" ht="18.75" spans="1:5">
      <c r="A8530" s="8" t="str">
        <f t="shared" si="148"/>
        <v>250035</v>
      </c>
      <c r="B8530" s="8" t="str">
        <f>"2561409010118"</f>
        <v>2561409010118</v>
      </c>
      <c r="C8530" s="8" t="s">
        <v>15</v>
      </c>
      <c r="D8530" s="9">
        <v>45.9</v>
      </c>
      <c r="E8530" s="8">
        <v>299</v>
      </c>
    </row>
    <row r="8531" s="3" customFormat="1" ht="18.75" spans="1:5">
      <c r="A8531" s="8" t="str">
        <f t="shared" si="148"/>
        <v>250035</v>
      </c>
      <c r="B8531" s="8" t="str">
        <f>"2561409010708"</f>
        <v>2561409010708</v>
      </c>
      <c r="C8531" s="8" t="s">
        <v>15</v>
      </c>
      <c r="D8531" s="9">
        <v>45.84</v>
      </c>
      <c r="E8531" s="8">
        <v>300</v>
      </c>
    </row>
    <row r="8532" s="3" customFormat="1" ht="18.75" spans="1:5">
      <c r="A8532" s="8" t="str">
        <f t="shared" si="148"/>
        <v>250035</v>
      </c>
      <c r="B8532" s="8" t="str">
        <f>"2561409011419"</f>
        <v>2561409011419</v>
      </c>
      <c r="C8532" s="8" t="s">
        <v>15</v>
      </c>
      <c r="D8532" s="9">
        <v>45.71</v>
      </c>
      <c r="E8532" s="8">
        <v>301</v>
      </c>
    </row>
    <row r="8533" s="3" customFormat="1" ht="18.75" spans="1:5">
      <c r="A8533" s="8" t="str">
        <f t="shared" si="148"/>
        <v>250035</v>
      </c>
      <c r="B8533" s="8" t="str">
        <f>"2561409011408"</f>
        <v>2561409011408</v>
      </c>
      <c r="C8533" s="8" t="s">
        <v>15</v>
      </c>
      <c r="D8533" s="9">
        <v>45.57</v>
      </c>
      <c r="E8533" s="8">
        <v>302</v>
      </c>
    </row>
    <row r="8534" s="3" customFormat="1" ht="18.75" spans="1:5">
      <c r="A8534" s="8" t="str">
        <f t="shared" si="148"/>
        <v>250035</v>
      </c>
      <c r="B8534" s="8" t="str">
        <f>"2561409010427"</f>
        <v>2561409010427</v>
      </c>
      <c r="C8534" s="8" t="s">
        <v>15</v>
      </c>
      <c r="D8534" s="9">
        <v>45.47</v>
      </c>
      <c r="E8534" s="8">
        <v>303</v>
      </c>
    </row>
    <row r="8535" s="3" customFormat="1" ht="18.75" spans="1:5">
      <c r="A8535" s="8" t="str">
        <f t="shared" si="148"/>
        <v>250035</v>
      </c>
      <c r="B8535" s="8" t="str">
        <f>"2561409010730"</f>
        <v>2561409010730</v>
      </c>
      <c r="C8535" s="8" t="s">
        <v>15</v>
      </c>
      <c r="D8535" s="9">
        <v>45.11</v>
      </c>
      <c r="E8535" s="8">
        <v>304</v>
      </c>
    </row>
    <row r="8536" s="3" customFormat="1" ht="18.75" spans="1:5">
      <c r="A8536" s="8" t="str">
        <f t="shared" si="148"/>
        <v>250035</v>
      </c>
      <c r="B8536" s="8" t="str">
        <f>"2561409010329"</f>
        <v>2561409010329</v>
      </c>
      <c r="C8536" s="8" t="s">
        <v>15</v>
      </c>
      <c r="D8536" s="9">
        <v>45.08</v>
      </c>
      <c r="E8536" s="8">
        <v>305</v>
      </c>
    </row>
    <row r="8537" s="3" customFormat="1" ht="18.75" spans="1:5">
      <c r="A8537" s="8" t="str">
        <f t="shared" si="148"/>
        <v>250035</v>
      </c>
      <c r="B8537" s="8" t="str">
        <f>"2561409010724"</f>
        <v>2561409010724</v>
      </c>
      <c r="C8537" s="8" t="s">
        <v>15</v>
      </c>
      <c r="D8537" s="9">
        <v>44.52</v>
      </c>
      <c r="E8537" s="8">
        <v>306</v>
      </c>
    </row>
    <row r="8538" s="3" customFormat="1" ht="18.75" spans="1:5">
      <c r="A8538" s="8" t="str">
        <f t="shared" si="148"/>
        <v>250035</v>
      </c>
      <c r="B8538" s="8" t="str">
        <f>"2561409010829"</f>
        <v>2561409010829</v>
      </c>
      <c r="C8538" s="8" t="s">
        <v>15</v>
      </c>
      <c r="D8538" s="9">
        <v>44.32</v>
      </c>
      <c r="E8538" s="8">
        <v>307</v>
      </c>
    </row>
    <row r="8539" s="3" customFormat="1" ht="18.75" spans="1:5">
      <c r="A8539" s="8" t="str">
        <f t="shared" si="148"/>
        <v>250035</v>
      </c>
      <c r="B8539" s="8" t="str">
        <f>"2561409010227"</f>
        <v>2561409010227</v>
      </c>
      <c r="C8539" s="8" t="s">
        <v>15</v>
      </c>
      <c r="D8539" s="9">
        <v>44.24</v>
      </c>
      <c r="E8539" s="8">
        <v>308</v>
      </c>
    </row>
    <row r="8540" s="3" customFormat="1" ht="18.75" spans="1:5">
      <c r="A8540" s="8" t="str">
        <f t="shared" si="148"/>
        <v>250035</v>
      </c>
      <c r="B8540" s="8" t="str">
        <f>"2561409010110"</f>
        <v>2561409010110</v>
      </c>
      <c r="C8540" s="8" t="s">
        <v>15</v>
      </c>
      <c r="D8540" s="9">
        <v>43.79</v>
      </c>
      <c r="E8540" s="8">
        <v>309</v>
      </c>
    </row>
    <row r="8541" s="3" customFormat="1" ht="18.75" spans="1:5">
      <c r="A8541" s="8" t="str">
        <f t="shared" si="148"/>
        <v>250035</v>
      </c>
      <c r="B8541" s="8" t="str">
        <f>"2561409011418"</f>
        <v>2561409011418</v>
      </c>
      <c r="C8541" s="8" t="s">
        <v>15</v>
      </c>
      <c r="D8541" s="9">
        <v>43.5</v>
      </c>
      <c r="E8541" s="8">
        <v>310</v>
      </c>
    </row>
    <row r="8542" s="3" customFormat="1" ht="18.75" spans="1:5">
      <c r="A8542" s="8" t="str">
        <f t="shared" si="148"/>
        <v>250035</v>
      </c>
      <c r="B8542" s="8" t="str">
        <f>"2561409011623"</f>
        <v>2561409011623</v>
      </c>
      <c r="C8542" s="8" t="s">
        <v>15</v>
      </c>
      <c r="D8542" s="9">
        <v>42.26</v>
      </c>
      <c r="E8542" s="8">
        <v>311</v>
      </c>
    </row>
    <row r="8543" s="3" customFormat="1" ht="18.75" spans="1:5">
      <c r="A8543" s="8" t="str">
        <f t="shared" si="148"/>
        <v>250035</v>
      </c>
      <c r="B8543" s="8" t="str">
        <f>"2561409011713"</f>
        <v>2561409011713</v>
      </c>
      <c r="C8543" s="8" t="s">
        <v>15</v>
      </c>
      <c r="D8543" s="9">
        <v>41.83</v>
      </c>
      <c r="E8543" s="8">
        <v>312</v>
      </c>
    </row>
    <row r="8544" s="3" customFormat="1" ht="18.75" spans="1:5">
      <c r="A8544" s="8" t="str">
        <f t="shared" si="148"/>
        <v>250035</v>
      </c>
      <c r="B8544" s="8" t="str">
        <f>"2561409011330"</f>
        <v>2561409011330</v>
      </c>
      <c r="C8544" s="8" t="s">
        <v>15</v>
      </c>
      <c r="D8544" s="9">
        <v>41.75</v>
      </c>
      <c r="E8544" s="8">
        <v>313</v>
      </c>
    </row>
    <row r="8545" s="3" customFormat="1" ht="18.75" spans="1:5">
      <c r="A8545" s="8" t="str">
        <f t="shared" si="148"/>
        <v>250035</v>
      </c>
      <c r="B8545" s="8" t="str">
        <f>"2561409010107"</f>
        <v>2561409010107</v>
      </c>
      <c r="C8545" s="8" t="s">
        <v>15</v>
      </c>
      <c r="D8545" s="9">
        <v>41.07</v>
      </c>
      <c r="E8545" s="8">
        <v>314</v>
      </c>
    </row>
    <row r="8546" s="3" customFormat="1" ht="18.75" spans="1:5">
      <c r="A8546" s="8" t="str">
        <f t="shared" si="148"/>
        <v>250035</v>
      </c>
      <c r="B8546" s="8" t="str">
        <f>"2561409011210"</f>
        <v>2561409011210</v>
      </c>
      <c r="C8546" s="8" t="s">
        <v>15</v>
      </c>
      <c r="D8546" s="9">
        <v>39.82</v>
      </c>
      <c r="E8546" s="8">
        <v>315</v>
      </c>
    </row>
    <row r="8547" s="3" customFormat="1" ht="18.75" spans="1:5">
      <c r="A8547" s="8" t="str">
        <f t="shared" si="148"/>
        <v>250035</v>
      </c>
      <c r="B8547" s="8" t="str">
        <f>"2561409011625"</f>
        <v>2561409011625</v>
      </c>
      <c r="C8547" s="8" t="s">
        <v>15</v>
      </c>
      <c r="D8547" s="9">
        <v>39.34</v>
      </c>
      <c r="E8547" s="8">
        <v>316</v>
      </c>
    </row>
    <row r="8548" s="3" customFormat="1" ht="18.75" spans="1:5">
      <c r="A8548" s="8" t="str">
        <f t="shared" si="148"/>
        <v>250035</v>
      </c>
      <c r="B8548" s="8" t="str">
        <f>"2561409011024"</f>
        <v>2561409011024</v>
      </c>
      <c r="C8548" s="8" t="s">
        <v>15</v>
      </c>
      <c r="D8548" s="9">
        <v>37.43</v>
      </c>
      <c r="E8548" s="8">
        <v>317</v>
      </c>
    </row>
    <row r="8549" s="3" customFormat="1" ht="18.75" spans="1:5">
      <c r="A8549" s="8" t="str">
        <f t="shared" si="148"/>
        <v>250035</v>
      </c>
      <c r="B8549" s="8" t="str">
        <f>"2561409010617"</f>
        <v>2561409010617</v>
      </c>
      <c r="C8549" s="8" t="s">
        <v>15</v>
      </c>
      <c r="D8549" s="9">
        <v>36.53</v>
      </c>
      <c r="E8549" s="8">
        <v>318</v>
      </c>
    </row>
    <row r="8550" s="3" customFormat="1" ht="18.75" spans="1:5">
      <c r="A8550" s="8" t="str">
        <f t="shared" si="148"/>
        <v>250035</v>
      </c>
      <c r="B8550" s="8" t="str">
        <f>"2561409011414"</f>
        <v>2561409011414</v>
      </c>
      <c r="C8550" s="8" t="s">
        <v>15</v>
      </c>
      <c r="D8550" s="9">
        <v>36.31</v>
      </c>
      <c r="E8550" s="8">
        <v>319</v>
      </c>
    </row>
    <row r="8551" s="3" customFormat="1" ht="18.75" spans="1:5">
      <c r="A8551" s="8" t="str">
        <f t="shared" si="148"/>
        <v>250035</v>
      </c>
      <c r="B8551" s="8" t="str">
        <f>"2561409010902"</f>
        <v>2561409010902</v>
      </c>
      <c r="C8551" s="8" t="s">
        <v>15</v>
      </c>
      <c r="D8551" s="9">
        <v>33.27</v>
      </c>
      <c r="E8551" s="8">
        <v>320</v>
      </c>
    </row>
    <row r="8552" s="3" customFormat="1" ht="18.75" spans="1:5">
      <c r="A8552" s="8" t="str">
        <f t="shared" ref="A8552:A8615" si="149">"250035"</f>
        <v>250035</v>
      </c>
      <c r="B8552" s="8" t="str">
        <f>"2561409010503"</f>
        <v>2561409010503</v>
      </c>
      <c r="C8552" s="8" t="s">
        <v>15</v>
      </c>
      <c r="D8552" s="9">
        <v>33</v>
      </c>
      <c r="E8552" s="8">
        <v>321</v>
      </c>
    </row>
    <row r="8553" s="3" customFormat="1" ht="18.75" spans="1:5">
      <c r="A8553" s="8" t="str">
        <f t="shared" si="149"/>
        <v>250035</v>
      </c>
      <c r="B8553" s="8" t="str">
        <f>"2561409010517"</f>
        <v>2561409010517</v>
      </c>
      <c r="C8553" s="8" t="s">
        <v>15</v>
      </c>
      <c r="D8553" s="9">
        <v>27.9</v>
      </c>
      <c r="E8553" s="8">
        <v>322</v>
      </c>
    </row>
    <row r="8554" s="3" customFormat="1" ht="18.75" spans="1:5">
      <c r="A8554" s="8" t="str">
        <f t="shared" si="149"/>
        <v>250035</v>
      </c>
      <c r="B8554" s="8" t="str">
        <f>"2561409011328"</f>
        <v>2561409011328</v>
      </c>
      <c r="C8554" s="8" t="s">
        <v>15</v>
      </c>
      <c r="D8554" s="9">
        <v>27.58</v>
      </c>
      <c r="E8554" s="8">
        <v>323</v>
      </c>
    </row>
    <row r="8555" s="3" customFormat="1" ht="18.75" spans="1:5">
      <c r="A8555" s="8" t="str">
        <f t="shared" si="149"/>
        <v>250035</v>
      </c>
      <c r="B8555" s="8" t="str">
        <f>"2561409011510"</f>
        <v>2561409011510</v>
      </c>
      <c r="C8555" s="8" t="s">
        <v>15</v>
      </c>
      <c r="D8555" s="9">
        <v>21.34</v>
      </c>
      <c r="E8555" s="8">
        <v>324</v>
      </c>
    </row>
    <row r="8556" s="3" customFormat="1" ht="18.75" spans="1:5">
      <c r="A8556" s="8" t="str">
        <f t="shared" si="149"/>
        <v>250035</v>
      </c>
      <c r="B8556" s="8" t="str">
        <f>"2561409010818"</f>
        <v>2561409010818</v>
      </c>
      <c r="C8556" s="8" t="s">
        <v>15</v>
      </c>
      <c r="D8556" s="9">
        <v>18.64</v>
      </c>
      <c r="E8556" s="8">
        <v>325</v>
      </c>
    </row>
    <row r="8557" s="3" customFormat="1" ht="18.75" spans="1:5">
      <c r="A8557" s="8" t="str">
        <f t="shared" si="149"/>
        <v>250035</v>
      </c>
      <c r="B8557" s="8" t="str">
        <f>"2561409010101"</f>
        <v>2561409010101</v>
      </c>
      <c r="C8557" s="8" t="s">
        <v>15</v>
      </c>
      <c r="D8557" s="9">
        <v>0</v>
      </c>
      <c r="E8557" s="8">
        <v>326</v>
      </c>
    </row>
    <row r="8558" s="3" customFormat="1" ht="18.75" spans="1:5">
      <c r="A8558" s="8" t="str">
        <f t="shared" si="149"/>
        <v>250035</v>
      </c>
      <c r="B8558" s="8" t="str">
        <f>"2561409010104"</f>
        <v>2561409010104</v>
      </c>
      <c r="C8558" s="8" t="s">
        <v>15</v>
      </c>
      <c r="D8558" s="9">
        <v>0</v>
      </c>
      <c r="E8558" s="8">
        <v>326</v>
      </c>
    </row>
    <row r="8559" s="3" customFormat="1" ht="18.75" spans="1:5">
      <c r="A8559" s="8" t="str">
        <f t="shared" si="149"/>
        <v>250035</v>
      </c>
      <c r="B8559" s="8" t="str">
        <f>"2561409010108"</f>
        <v>2561409010108</v>
      </c>
      <c r="C8559" s="8" t="s">
        <v>15</v>
      </c>
      <c r="D8559" s="9">
        <v>0</v>
      </c>
      <c r="E8559" s="8">
        <v>326</v>
      </c>
    </row>
    <row r="8560" s="3" customFormat="1" ht="18.75" spans="1:5">
      <c r="A8560" s="8" t="str">
        <f t="shared" si="149"/>
        <v>250035</v>
      </c>
      <c r="B8560" s="8" t="str">
        <f>"2561409010112"</f>
        <v>2561409010112</v>
      </c>
      <c r="C8560" s="8" t="s">
        <v>15</v>
      </c>
      <c r="D8560" s="9">
        <v>0</v>
      </c>
      <c r="E8560" s="8">
        <v>326</v>
      </c>
    </row>
    <row r="8561" s="3" customFormat="1" ht="18.75" spans="1:5">
      <c r="A8561" s="8" t="str">
        <f t="shared" si="149"/>
        <v>250035</v>
      </c>
      <c r="B8561" s="8" t="str">
        <f>"2561409010114"</f>
        <v>2561409010114</v>
      </c>
      <c r="C8561" s="8" t="s">
        <v>15</v>
      </c>
      <c r="D8561" s="9">
        <v>0</v>
      </c>
      <c r="E8561" s="8">
        <v>326</v>
      </c>
    </row>
    <row r="8562" s="3" customFormat="1" ht="18.75" spans="1:5">
      <c r="A8562" s="8" t="str">
        <f t="shared" si="149"/>
        <v>250035</v>
      </c>
      <c r="B8562" s="8" t="str">
        <f>"2561409010121"</f>
        <v>2561409010121</v>
      </c>
      <c r="C8562" s="8" t="s">
        <v>15</v>
      </c>
      <c r="D8562" s="9">
        <v>0</v>
      </c>
      <c r="E8562" s="8">
        <v>326</v>
      </c>
    </row>
    <row r="8563" s="3" customFormat="1" ht="18.75" spans="1:5">
      <c r="A8563" s="8" t="str">
        <f t="shared" si="149"/>
        <v>250035</v>
      </c>
      <c r="B8563" s="8" t="str">
        <f>"2561409010124"</f>
        <v>2561409010124</v>
      </c>
      <c r="C8563" s="8" t="s">
        <v>15</v>
      </c>
      <c r="D8563" s="9">
        <v>0</v>
      </c>
      <c r="E8563" s="8">
        <v>326</v>
      </c>
    </row>
    <row r="8564" s="3" customFormat="1" ht="18.75" spans="1:5">
      <c r="A8564" s="8" t="str">
        <f t="shared" si="149"/>
        <v>250035</v>
      </c>
      <c r="B8564" s="8" t="str">
        <f>"2561409010130"</f>
        <v>2561409010130</v>
      </c>
      <c r="C8564" s="8" t="s">
        <v>15</v>
      </c>
      <c r="D8564" s="9">
        <v>0</v>
      </c>
      <c r="E8564" s="8">
        <v>326</v>
      </c>
    </row>
    <row r="8565" s="3" customFormat="1" ht="18.75" spans="1:5">
      <c r="A8565" s="8" t="str">
        <f t="shared" si="149"/>
        <v>250035</v>
      </c>
      <c r="B8565" s="8" t="str">
        <f>"2561409010201"</f>
        <v>2561409010201</v>
      </c>
      <c r="C8565" s="8" t="s">
        <v>15</v>
      </c>
      <c r="D8565" s="9">
        <v>0</v>
      </c>
      <c r="E8565" s="8">
        <v>326</v>
      </c>
    </row>
    <row r="8566" s="3" customFormat="1" ht="18.75" spans="1:5">
      <c r="A8566" s="8" t="str">
        <f t="shared" si="149"/>
        <v>250035</v>
      </c>
      <c r="B8566" s="8" t="str">
        <f>"2561409010203"</f>
        <v>2561409010203</v>
      </c>
      <c r="C8566" s="8" t="s">
        <v>15</v>
      </c>
      <c r="D8566" s="9">
        <v>0</v>
      </c>
      <c r="E8566" s="8">
        <v>326</v>
      </c>
    </row>
    <row r="8567" s="3" customFormat="1" ht="18.75" spans="1:5">
      <c r="A8567" s="8" t="str">
        <f t="shared" si="149"/>
        <v>250035</v>
      </c>
      <c r="B8567" s="8" t="str">
        <f>"2561409010206"</f>
        <v>2561409010206</v>
      </c>
      <c r="C8567" s="8" t="s">
        <v>15</v>
      </c>
      <c r="D8567" s="9">
        <v>0</v>
      </c>
      <c r="E8567" s="8">
        <v>326</v>
      </c>
    </row>
    <row r="8568" s="3" customFormat="1" ht="18.75" spans="1:5">
      <c r="A8568" s="8" t="str">
        <f t="shared" si="149"/>
        <v>250035</v>
      </c>
      <c r="B8568" s="8" t="str">
        <f>"2561409010207"</f>
        <v>2561409010207</v>
      </c>
      <c r="C8568" s="8" t="s">
        <v>15</v>
      </c>
      <c r="D8568" s="9">
        <v>0</v>
      </c>
      <c r="E8568" s="8">
        <v>326</v>
      </c>
    </row>
    <row r="8569" s="3" customFormat="1" ht="18.75" spans="1:5">
      <c r="A8569" s="8" t="str">
        <f t="shared" si="149"/>
        <v>250035</v>
      </c>
      <c r="B8569" s="8" t="str">
        <f>"2561409010211"</f>
        <v>2561409010211</v>
      </c>
      <c r="C8569" s="8" t="s">
        <v>15</v>
      </c>
      <c r="D8569" s="9">
        <v>0</v>
      </c>
      <c r="E8569" s="8">
        <v>326</v>
      </c>
    </row>
    <row r="8570" s="3" customFormat="1" ht="18.75" spans="1:5">
      <c r="A8570" s="8" t="str">
        <f t="shared" si="149"/>
        <v>250035</v>
      </c>
      <c r="B8570" s="8" t="str">
        <f>"2561409010212"</f>
        <v>2561409010212</v>
      </c>
      <c r="C8570" s="8" t="s">
        <v>15</v>
      </c>
      <c r="D8570" s="9">
        <v>0</v>
      </c>
      <c r="E8570" s="8">
        <v>326</v>
      </c>
    </row>
    <row r="8571" s="3" customFormat="1" ht="18.75" spans="1:5">
      <c r="A8571" s="8" t="str">
        <f t="shared" si="149"/>
        <v>250035</v>
      </c>
      <c r="B8571" s="8" t="str">
        <f>"2561409010218"</f>
        <v>2561409010218</v>
      </c>
      <c r="C8571" s="8" t="s">
        <v>15</v>
      </c>
      <c r="D8571" s="9">
        <v>0</v>
      </c>
      <c r="E8571" s="8">
        <v>326</v>
      </c>
    </row>
    <row r="8572" s="3" customFormat="1" ht="18.75" spans="1:5">
      <c r="A8572" s="8" t="str">
        <f t="shared" si="149"/>
        <v>250035</v>
      </c>
      <c r="B8572" s="8" t="str">
        <f>"2561409010220"</f>
        <v>2561409010220</v>
      </c>
      <c r="C8572" s="8" t="s">
        <v>15</v>
      </c>
      <c r="D8572" s="9">
        <v>0</v>
      </c>
      <c r="E8572" s="8">
        <v>326</v>
      </c>
    </row>
    <row r="8573" s="3" customFormat="1" ht="18.75" spans="1:5">
      <c r="A8573" s="8" t="str">
        <f t="shared" si="149"/>
        <v>250035</v>
      </c>
      <c r="B8573" s="8" t="str">
        <f>"2561409010222"</f>
        <v>2561409010222</v>
      </c>
      <c r="C8573" s="8" t="s">
        <v>15</v>
      </c>
      <c r="D8573" s="9">
        <v>0</v>
      </c>
      <c r="E8573" s="8">
        <v>326</v>
      </c>
    </row>
    <row r="8574" s="3" customFormat="1" ht="18.75" spans="1:5">
      <c r="A8574" s="8" t="str">
        <f t="shared" si="149"/>
        <v>250035</v>
      </c>
      <c r="B8574" s="8" t="str">
        <f>"2561409010224"</f>
        <v>2561409010224</v>
      </c>
      <c r="C8574" s="8" t="s">
        <v>15</v>
      </c>
      <c r="D8574" s="9">
        <v>0</v>
      </c>
      <c r="E8574" s="8">
        <v>326</v>
      </c>
    </row>
    <row r="8575" s="3" customFormat="1" ht="18.75" spans="1:5">
      <c r="A8575" s="8" t="str">
        <f t="shared" si="149"/>
        <v>250035</v>
      </c>
      <c r="B8575" s="8" t="str">
        <f>"2561409010226"</f>
        <v>2561409010226</v>
      </c>
      <c r="C8575" s="8" t="s">
        <v>15</v>
      </c>
      <c r="D8575" s="9">
        <v>0</v>
      </c>
      <c r="E8575" s="8">
        <v>326</v>
      </c>
    </row>
    <row r="8576" s="3" customFormat="1" ht="18.75" spans="1:5">
      <c r="A8576" s="8" t="str">
        <f t="shared" si="149"/>
        <v>250035</v>
      </c>
      <c r="B8576" s="8" t="str">
        <f>"2561409010229"</f>
        <v>2561409010229</v>
      </c>
      <c r="C8576" s="8" t="s">
        <v>15</v>
      </c>
      <c r="D8576" s="9">
        <v>0</v>
      </c>
      <c r="E8576" s="8">
        <v>326</v>
      </c>
    </row>
    <row r="8577" s="3" customFormat="1" ht="18.75" spans="1:5">
      <c r="A8577" s="8" t="str">
        <f t="shared" si="149"/>
        <v>250035</v>
      </c>
      <c r="B8577" s="8" t="str">
        <f>"2561409010230"</f>
        <v>2561409010230</v>
      </c>
      <c r="C8577" s="8" t="s">
        <v>15</v>
      </c>
      <c r="D8577" s="9">
        <v>0</v>
      </c>
      <c r="E8577" s="8">
        <v>326</v>
      </c>
    </row>
    <row r="8578" s="3" customFormat="1" ht="18.75" spans="1:5">
      <c r="A8578" s="8" t="str">
        <f t="shared" si="149"/>
        <v>250035</v>
      </c>
      <c r="B8578" s="8" t="str">
        <f>"2561409010302"</f>
        <v>2561409010302</v>
      </c>
      <c r="C8578" s="8" t="s">
        <v>15</v>
      </c>
      <c r="D8578" s="9">
        <v>0</v>
      </c>
      <c r="E8578" s="8">
        <v>326</v>
      </c>
    </row>
    <row r="8579" s="3" customFormat="1" ht="18.75" spans="1:5">
      <c r="A8579" s="8" t="str">
        <f t="shared" si="149"/>
        <v>250035</v>
      </c>
      <c r="B8579" s="8" t="str">
        <f>"2561409010304"</f>
        <v>2561409010304</v>
      </c>
      <c r="C8579" s="8" t="s">
        <v>15</v>
      </c>
      <c r="D8579" s="9">
        <v>0</v>
      </c>
      <c r="E8579" s="8">
        <v>326</v>
      </c>
    </row>
    <row r="8580" s="3" customFormat="1" ht="18.75" spans="1:5">
      <c r="A8580" s="8" t="str">
        <f t="shared" si="149"/>
        <v>250035</v>
      </c>
      <c r="B8580" s="8" t="str">
        <f>"2561409010306"</f>
        <v>2561409010306</v>
      </c>
      <c r="C8580" s="8" t="s">
        <v>15</v>
      </c>
      <c r="D8580" s="9">
        <v>0</v>
      </c>
      <c r="E8580" s="8">
        <v>326</v>
      </c>
    </row>
    <row r="8581" s="3" customFormat="1" ht="18.75" spans="1:5">
      <c r="A8581" s="8" t="str">
        <f t="shared" si="149"/>
        <v>250035</v>
      </c>
      <c r="B8581" s="8" t="str">
        <f>"2561409010310"</f>
        <v>2561409010310</v>
      </c>
      <c r="C8581" s="8" t="s">
        <v>15</v>
      </c>
      <c r="D8581" s="9">
        <v>0</v>
      </c>
      <c r="E8581" s="8">
        <v>326</v>
      </c>
    </row>
    <row r="8582" s="3" customFormat="1" ht="18.75" spans="1:5">
      <c r="A8582" s="8" t="str">
        <f t="shared" si="149"/>
        <v>250035</v>
      </c>
      <c r="B8582" s="8" t="str">
        <f>"2561409010312"</f>
        <v>2561409010312</v>
      </c>
      <c r="C8582" s="8" t="s">
        <v>15</v>
      </c>
      <c r="D8582" s="9">
        <v>0</v>
      </c>
      <c r="E8582" s="8">
        <v>326</v>
      </c>
    </row>
    <row r="8583" s="3" customFormat="1" ht="18.75" spans="1:5">
      <c r="A8583" s="8" t="str">
        <f t="shared" si="149"/>
        <v>250035</v>
      </c>
      <c r="B8583" s="8" t="str">
        <f>"2561409010313"</f>
        <v>2561409010313</v>
      </c>
      <c r="C8583" s="8" t="s">
        <v>15</v>
      </c>
      <c r="D8583" s="9">
        <v>0</v>
      </c>
      <c r="E8583" s="8">
        <v>326</v>
      </c>
    </row>
    <row r="8584" s="3" customFormat="1" ht="18.75" spans="1:5">
      <c r="A8584" s="8" t="str">
        <f t="shared" si="149"/>
        <v>250035</v>
      </c>
      <c r="B8584" s="8" t="str">
        <f>"2561409010315"</f>
        <v>2561409010315</v>
      </c>
      <c r="C8584" s="8" t="s">
        <v>15</v>
      </c>
      <c r="D8584" s="9">
        <v>0</v>
      </c>
      <c r="E8584" s="8">
        <v>326</v>
      </c>
    </row>
    <row r="8585" s="3" customFormat="1" ht="18.75" spans="1:5">
      <c r="A8585" s="8" t="str">
        <f t="shared" si="149"/>
        <v>250035</v>
      </c>
      <c r="B8585" s="8" t="str">
        <f>"2561409010316"</f>
        <v>2561409010316</v>
      </c>
      <c r="C8585" s="8" t="s">
        <v>15</v>
      </c>
      <c r="D8585" s="9">
        <v>0</v>
      </c>
      <c r="E8585" s="8">
        <v>326</v>
      </c>
    </row>
    <row r="8586" s="3" customFormat="1" ht="18.75" spans="1:5">
      <c r="A8586" s="8" t="str">
        <f t="shared" si="149"/>
        <v>250035</v>
      </c>
      <c r="B8586" s="8" t="str">
        <f>"2561409010317"</f>
        <v>2561409010317</v>
      </c>
      <c r="C8586" s="8" t="s">
        <v>15</v>
      </c>
      <c r="D8586" s="9">
        <v>0</v>
      </c>
      <c r="E8586" s="8">
        <v>326</v>
      </c>
    </row>
    <row r="8587" s="3" customFormat="1" ht="18.75" spans="1:5">
      <c r="A8587" s="8" t="str">
        <f t="shared" si="149"/>
        <v>250035</v>
      </c>
      <c r="B8587" s="8" t="str">
        <f>"2561409010319"</f>
        <v>2561409010319</v>
      </c>
      <c r="C8587" s="8" t="s">
        <v>15</v>
      </c>
      <c r="D8587" s="9">
        <v>0</v>
      </c>
      <c r="E8587" s="8">
        <v>326</v>
      </c>
    </row>
    <row r="8588" s="3" customFormat="1" ht="18.75" spans="1:5">
      <c r="A8588" s="8" t="str">
        <f t="shared" si="149"/>
        <v>250035</v>
      </c>
      <c r="B8588" s="8" t="str">
        <f>"2561409010323"</f>
        <v>2561409010323</v>
      </c>
      <c r="C8588" s="8" t="s">
        <v>15</v>
      </c>
      <c r="D8588" s="9">
        <v>0</v>
      </c>
      <c r="E8588" s="8">
        <v>326</v>
      </c>
    </row>
    <row r="8589" s="3" customFormat="1" ht="18.75" spans="1:5">
      <c r="A8589" s="8" t="str">
        <f t="shared" si="149"/>
        <v>250035</v>
      </c>
      <c r="B8589" s="8" t="str">
        <f>"2561409010326"</f>
        <v>2561409010326</v>
      </c>
      <c r="C8589" s="8" t="s">
        <v>15</v>
      </c>
      <c r="D8589" s="9">
        <v>0</v>
      </c>
      <c r="E8589" s="8">
        <v>326</v>
      </c>
    </row>
    <row r="8590" s="3" customFormat="1" ht="18.75" spans="1:5">
      <c r="A8590" s="8" t="str">
        <f t="shared" si="149"/>
        <v>250035</v>
      </c>
      <c r="B8590" s="8" t="str">
        <f>"2561409010330"</f>
        <v>2561409010330</v>
      </c>
      <c r="C8590" s="8" t="s">
        <v>15</v>
      </c>
      <c r="D8590" s="9">
        <v>0</v>
      </c>
      <c r="E8590" s="8">
        <v>326</v>
      </c>
    </row>
    <row r="8591" s="3" customFormat="1" ht="18.75" spans="1:5">
      <c r="A8591" s="8" t="str">
        <f t="shared" si="149"/>
        <v>250035</v>
      </c>
      <c r="B8591" s="8" t="str">
        <f>"2561409010401"</f>
        <v>2561409010401</v>
      </c>
      <c r="C8591" s="8" t="s">
        <v>15</v>
      </c>
      <c r="D8591" s="9">
        <v>0</v>
      </c>
      <c r="E8591" s="8">
        <v>326</v>
      </c>
    </row>
    <row r="8592" s="3" customFormat="1" ht="18.75" spans="1:5">
      <c r="A8592" s="8" t="str">
        <f t="shared" si="149"/>
        <v>250035</v>
      </c>
      <c r="B8592" s="8" t="str">
        <f>"2561409010405"</f>
        <v>2561409010405</v>
      </c>
      <c r="C8592" s="8" t="s">
        <v>15</v>
      </c>
      <c r="D8592" s="9">
        <v>0</v>
      </c>
      <c r="E8592" s="8">
        <v>326</v>
      </c>
    </row>
    <row r="8593" s="3" customFormat="1" ht="18.75" spans="1:5">
      <c r="A8593" s="8" t="str">
        <f t="shared" si="149"/>
        <v>250035</v>
      </c>
      <c r="B8593" s="8" t="str">
        <f>"2561409010408"</f>
        <v>2561409010408</v>
      </c>
      <c r="C8593" s="8" t="s">
        <v>15</v>
      </c>
      <c r="D8593" s="9">
        <v>0</v>
      </c>
      <c r="E8593" s="8">
        <v>326</v>
      </c>
    </row>
    <row r="8594" s="3" customFormat="1" ht="18.75" spans="1:5">
      <c r="A8594" s="8" t="str">
        <f t="shared" si="149"/>
        <v>250035</v>
      </c>
      <c r="B8594" s="8" t="str">
        <f>"2561409010409"</f>
        <v>2561409010409</v>
      </c>
      <c r="C8594" s="8" t="s">
        <v>15</v>
      </c>
      <c r="D8594" s="9">
        <v>0</v>
      </c>
      <c r="E8594" s="8">
        <v>326</v>
      </c>
    </row>
    <row r="8595" s="3" customFormat="1" ht="18.75" spans="1:5">
      <c r="A8595" s="8" t="str">
        <f t="shared" si="149"/>
        <v>250035</v>
      </c>
      <c r="B8595" s="8" t="str">
        <f>"2561409010411"</f>
        <v>2561409010411</v>
      </c>
      <c r="C8595" s="8" t="s">
        <v>15</v>
      </c>
      <c r="D8595" s="9">
        <v>0</v>
      </c>
      <c r="E8595" s="8">
        <v>326</v>
      </c>
    </row>
    <row r="8596" s="3" customFormat="1" ht="18.75" spans="1:5">
      <c r="A8596" s="8" t="str">
        <f t="shared" si="149"/>
        <v>250035</v>
      </c>
      <c r="B8596" s="8" t="str">
        <f>"2561409010417"</f>
        <v>2561409010417</v>
      </c>
      <c r="C8596" s="8" t="s">
        <v>15</v>
      </c>
      <c r="D8596" s="9">
        <v>0</v>
      </c>
      <c r="E8596" s="8">
        <v>326</v>
      </c>
    </row>
    <row r="8597" s="3" customFormat="1" ht="18.75" spans="1:5">
      <c r="A8597" s="8" t="str">
        <f t="shared" si="149"/>
        <v>250035</v>
      </c>
      <c r="B8597" s="8" t="str">
        <f>"2561409010422"</f>
        <v>2561409010422</v>
      </c>
      <c r="C8597" s="8" t="s">
        <v>15</v>
      </c>
      <c r="D8597" s="9">
        <v>0</v>
      </c>
      <c r="E8597" s="8">
        <v>326</v>
      </c>
    </row>
    <row r="8598" s="3" customFormat="1" ht="18.75" spans="1:5">
      <c r="A8598" s="8" t="str">
        <f t="shared" si="149"/>
        <v>250035</v>
      </c>
      <c r="B8598" s="8" t="str">
        <f>"2561409010423"</f>
        <v>2561409010423</v>
      </c>
      <c r="C8598" s="8" t="s">
        <v>15</v>
      </c>
      <c r="D8598" s="9">
        <v>0</v>
      </c>
      <c r="E8598" s="8">
        <v>326</v>
      </c>
    </row>
    <row r="8599" s="3" customFormat="1" ht="18.75" spans="1:5">
      <c r="A8599" s="8" t="str">
        <f t="shared" si="149"/>
        <v>250035</v>
      </c>
      <c r="B8599" s="8" t="str">
        <f>"2561409010424"</f>
        <v>2561409010424</v>
      </c>
      <c r="C8599" s="8" t="s">
        <v>15</v>
      </c>
      <c r="D8599" s="9">
        <v>0</v>
      </c>
      <c r="E8599" s="8">
        <v>326</v>
      </c>
    </row>
    <row r="8600" s="3" customFormat="1" ht="18.75" spans="1:5">
      <c r="A8600" s="8" t="str">
        <f t="shared" si="149"/>
        <v>250035</v>
      </c>
      <c r="B8600" s="8" t="str">
        <f>"2561409010428"</f>
        <v>2561409010428</v>
      </c>
      <c r="C8600" s="8" t="s">
        <v>15</v>
      </c>
      <c r="D8600" s="9">
        <v>0</v>
      </c>
      <c r="E8600" s="8">
        <v>326</v>
      </c>
    </row>
    <row r="8601" s="3" customFormat="1" ht="18.75" spans="1:5">
      <c r="A8601" s="8" t="str">
        <f t="shared" si="149"/>
        <v>250035</v>
      </c>
      <c r="B8601" s="8" t="str">
        <f>"2561409010430"</f>
        <v>2561409010430</v>
      </c>
      <c r="C8601" s="8" t="s">
        <v>15</v>
      </c>
      <c r="D8601" s="9">
        <v>0</v>
      </c>
      <c r="E8601" s="8">
        <v>326</v>
      </c>
    </row>
    <row r="8602" s="3" customFormat="1" ht="18.75" spans="1:5">
      <c r="A8602" s="8" t="str">
        <f t="shared" si="149"/>
        <v>250035</v>
      </c>
      <c r="B8602" s="8" t="str">
        <f>"2561409010504"</f>
        <v>2561409010504</v>
      </c>
      <c r="C8602" s="8" t="s">
        <v>15</v>
      </c>
      <c r="D8602" s="9">
        <v>0</v>
      </c>
      <c r="E8602" s="8">
        <v>326</v>
      </c>
    </row>
    <row r="8603" s="3" customFormat="1" ht="18.75" spans="1:5">
      <c r="A8603" s="8" t="str">
        <f t="shared" si="149"/>
        <v>250035</v>
      </c>
      <c r="B8603" s="8" t="str">
        <f>"2561409010510"</f>
        <v>2561409010510</v>
      </c>
      <c r="C8603" s="8" t="s">
        <v>15</v>
      </c>
      <c r="D8603" s="9">
        <v>0</v>
      </c>
      <c r="E8603" s="8">
        <v>326</v>
      </c>
    </row>
    <row r="8604" s="3" customFormat="1" ht="18.75" spans="1:5">
      <c r="A8604" s="8" t="str">
        <f t="shared" si="149"/>
        <v>250035</v>
      </c>
      <c r="B8604" s="8" t="str">
        <f>"2561409010513"</f>
        <v>2561409010513</v>
      </c>
      <c r="C8604" s="8" t="s">
        <v>15</v>
      </c>
      <c r="D8604" s="9">
        <v>0</v>
      </c>
      <c r="E8604" s="8">
        <v>326</v>
      </c>
    </row>
    <row r="8605" s="3" customFormat="1" ht="18.75" spans="1:5">
      <c r="A8605" s="8" t="str">
        <f t="shared" si="149"/>
        <v>250035</v>
      </c>
      <c r="B8605" s="8" t="str">
        <f>"2561409010514"</f>
        <v>2561409010514</v>
      </c>
      <c r="C8605" s="8" t="s">
        <v>15</v>
      </c>
      <c r="D8605" s="9">
        <v>0</v>
      </c>
      <c r="E8605" s="8">
        <v>326</v>
      </c>
    </row>
    <row r="8606" s="3" customFormat="1" ht="18.75" spans="1:5">
      <c r="A8606" s="8" t="str">
        <f t="shared" si="149"/>
        <v>250035</v>
      </c>
      <c r="B8606" s="8" t="str">
        <f>"2561409010515"</f>
        <v>2561409010515</v>
      </c>
      <c r="C8606" s="8" t="s">
        <v>15</v>
      </c>
      <c r="D8606" s="9">
        <v>0</v>
      </c>
      <c r="E8606" s="8">
        <v>326</v>
      </c>
    </row>
    <row r="8607" s="3" customFormat="1" ht="18.75" spans="1:5">
      <c r="A8607" s="8" t="str">
        <f t="shared" si="149"/>
        <v>250035</v>
      </c>
      <c r="B8607" s="8" t="str">
        <f>"2561409010520"</f>
        <v>2561409010520</v>
      </c>
      <c r="C8607" s="8" t="s">
        <v>15</v>
      </c>
      <c r="D8607" s="9">
        <v>0</v>
      </c>
      <c r="E8607" s="8">
        <v>326</v>
      </c>
    </row>
    <row r="8608" s="3" customFormat="1" ht="18.75" spans="1:5">
      <c r="A8608" s="8" t="str">
        <f t="shared" si="149"/>
        <v>250035</v>
      </c>
      <c r="B8608" s="8" t="str">
        <f>"2561409010521"</f>
        <v>2561409010521</v>
      </c>
      <c r="C8608" s="8" t="s">
        <v>15</v>
      </c>
      <c r="D8608" s="9">
        <v>0</v>
      </c>
      <c r="E8608" s="8">
        <v>326</v>
      </c>
    </row>
    <row r="8609" s="3" customFormat="1" ht="18.75" spans="1:5">
      <c r="A8609" s="8" t="str">
        <f t="shared" si="149"/>
        <v>250035</v>
      </c>
      <c r="B8609" s="8" t="str">
        <f>"2561409010522"</f>
        <v>2561409010522</v>
      </c>
      <c r="C8609" s="8" t="s">
        <v>15</v>
      </c>
      <c r="D8609" s="9">
        <v>0</v>
      </c>
      <c r="E8609" s="8">
        <v>326</v>
      </c>
    </row>
    <row r="8610" s="3" customFormat="1" ht="18.75" spans="1:5">
      <c r="A8610" s="8" t="str">
        <f t="shared" si="149"/>
        <v>250035</v>
      </c>
      <c r="B8610" s="8" t="str">
        <f>"2561409010525"</f>
        <v>2561409010525</v>
      </c>
      <c r="C8610" s="8" t="s">
        <v>15</v>
      </c>
      <c r="D8610" s="9">
        <v>0</v>
      </c>
      <c r="E8610" s="8">
        <v>326</v>
      </c>
    </row>
    <row r="8611" s="3" customFormat="1" ht="18.75" spans="1:5">
      <c r="A8611" s="8" t="str">
        <f t="shared" si="149"/>
        <v>250035</v>
      </c>
      <c r="B8611" s="8" t="str">
        <f>"2561409010527"</f>
        <v>2561409010527</v>
      </c>
      <c r="C8611" s="8" t="s">
        <v>15</v>
      </c>
      <c r="D8611" s="9">
        <v>0</v>
      </c>
      <c r="E8611" s="8">
        <v>326</v>
      </c>
    </row>
    <row r="8612" s="3" customFormat="1" ht="18.75" spans="1:5">
      <c r="A8612" s="8" t="str">
        <f t="shared" si="149"/>
        <v>250035</v>
      </c>
      <c r="B8612" s="8" t="str">
        <f>"2561409010530"</f>
        <v>2561409010530</v>
      </c>
      <c r="C8612" s="8" t="s">
        <v>15</v>
      </c>
      <c r="D8612" s="9">
        <v>0</v>
      </c>
      <c r="E8612" s="8">
        <v>326</v>
      </c>
    </row>
    <row r="8613" s="3" customFormat="1" ht="18.75" spans="1:5">
      <c r="A8613" s="8" t="str">
        <f t="shared" si="149"/>
        <v>250035</v>
      </c>
      <c r="B8613" s="8" t="str">
        <f>"2561409010601"</f>
        <v>2561409010601</v>
      </c>
      <c r="C8613" s="8" t="s">
        <v>15</v>
      </c>
      <c r="D8613" s="9">
        <v>0</v>
      </c>
      <c r="E8613" s="8">
        <v>326</v>
      </c>
    </row>
    <row r="8614" s="3" customFormat="1" ht="18.75" spans="1:5">
      <c r="A8614" s="8" t="str">
        <f t="shared" si="149"/>
        <v>250035</v>
      </c>
      <c r="B8614" s="8" t="str">
        <f>"2561409010607"</f>
        <v>2561409010607</v>
      </c>
      <c r="C8614" s="8" t="s">
        <v>15</v>
      </c>
      <c r="D8614" s="9">
        <v>0</v>
      </c>
      <c r="E8614" s="8">
        <v>326</v>
      </c>
    </row>
    <row r="8615" s="3" customFormat="1" ht="18.75" spans="1:5">
      <c r="A8615" s="8" t="str">
        <f t="shared" si="149"/>
        <v>250035</v>
      </c>
      <c r="B8615" s="8" t="str">
        <f>"2561409010609"</f>
        <v>2561409010609</v>
      </c>
      <c r="C8615" s="8" t="s">
        <v>15</v>
      </c>
      <c r="D8615" s="9">
        <v>0</v>
      </c>
      <c r="E8615" s="8">
        <v>326</v>
      </c>
    </row>
    <row r="8616" s="3" customFormat="1" ht="18.75" spans="1:5">
      <c r="A8616" s="8" t="str">
        <f t="shared" ref="A8616:A8679" si="150">"250035"</f>
        <v>250035</v>
      </c>
      <c r="B8616" s="8" t="str">
        <f>"2561409010610"</f>
        <v>2561409010610</v>
      </c>
      <c r="C8616" s="8" t="s">
        <v>15</v>
      </c>
      <c r="D8616" s="9">
        <v>0</v>
      </c>
      <c r="E8616" s="8">
        <v>326</v>
      </c>
    </row>
    <row r="8617" s="3" customFormat="1" ht="18.75" spans="1:5">
      <c r="A8617" s="8" t="str">
        <f t="shared" si="150"/>
        <v>250035</v>
      </c>
      <c r="B8617" s="8" t="str">
        <f>"2561409010611"</f>
        <v>2561409010611</v>
      </c>
      <c r="C8617" s="8" t="s">
        <v>15</v>
      </c>
      <c r="D8617" s="9">
        <v>0</v>
      </c>
      <c r="E8617" s="8">
        <v>326</v>
      </c>
    </row>
    <row r="8618" s="3" customFormat="1" ht="18.75" spans="1:5">
      <c r="A8618" s="8" t="str">
        <f t="shared" si="150"/>
        <v>250035</v>
      </c>
      <c r="B8618" s="8" t="str">
        <f>"2561409010612"</f>
        <v>2561409010612</v>
      </c>
      <c r="C8618" s="8" t="s">
        <v>15</v>
      </c>
      <c r="D8618" s="9">
        <v>0</v>
      </c>
      <c r="E8618" s="8">
        <v>326</v>
      </c>
    </row>
    <row r="8619" s="3" customFormat="1" ht="18.75" spans="1:5">
      <c r="A8619" s="8" t="str">
        <f t="shared" si="150"/>
        <v>250035</v>
      </c>
      <c r="B8619" s="8" t="str">
        <f>"2561409010614"</f>
        <v>2561409010614</v>
      </c>
      <c r="C8619" s="8" t="s">
        <v>15</v>
      </c>
      <c r="D8619" s="9">
        <v>0</v>
      </c>
      <c r="E8619" s="8">
        <v>326</v>
      </c>
    </row>
    <row r="8620" s="3" customFormat="1" ht="18.75" spans="1:5">
      <c r="A8620" s="8" t="str">
        <f t="shared" si="150"/>
        <v>250035</v>
      </c>
      <c r="B8620" s="8" t="str">
        <f>"2561409010615"</f>
        <v>2561409010615</v>
      </c>
      <c r="C8620" s="8" t="s">
        <v>15</v>
      </c>
      <c r="D8620" s="9">
        <v>0</v>
      </c>
      <c r="E8620" s="8">
        <v>326</v>
      </c>
    </row>
    <row r="8621" s="3" customFormat="1" ht="18.75" spans="1:5">
      <c r="A8621" s="8" t="str">
        <f t="shared" si="150"/>
        <v>250035</v>
      </c>
      <c r="B8621" s="8" t="str">
        <f>"2561409010620"</f>
        <v>2561409010620</v>
      </c>
      <c r="C8621" s="8" t="s">
        <v>15</v>
      </c>
      <c r="D8621" s="9">
        <v>0</v>
      </c>
      <c r="E8621" s="8">
        <v>326</v>
      </c>
    </row>
    <row r="8622" s="3" customFormat="1" ht="18.75" spans="1:5">
      <c r="A8622" s="8" t="str">
        <f t="shared" si="150"/>
        <v>250035</v>
      </c>
      <c r="B8622" s="8" t="str">
        <f>"2561409010621"</f>
        <v>2561409010621</v>
      </c>
      <c r="C8622" s="8" t="s">
        <v>15</v>
      </c>
      <c r="D8622" s="9">
        <v>0</v>
      </c>
      <c r="E8622" s="8">
        <v>326</v>
      </c>
    </row>
    <row r="8623" s="3" customFormat="1" ht="18.75" spans="1:5">
      <c r="A8623" s="8" t="str">
        <f t="shared" si="150"/>
        <v>250035</v>
      </c>
      <c r="B8623" s="8" t="str">
        <f>"2561409010628"</f>
        <v>2561409010628</v>
      </c>
      <c r="C8623" s="8" t="s">
        <v>15</v>
      </c>
      <c r="D8623" s="9">
        <v>0</v>
      </c>
      <c r="E8623" s="8">
        <v>326</v>
      </c>
    </row>
    <row r="8624" s="3" customFormat="1" ht="18.75" spans="1:5">
      <c r="A8624" s="8" t="str">
        <f t="shared" si="150"/>
        <v>250035</v>
      </c>
      <c r="B8624" s="8" t="str">
        <f>"2561409010701"</f>
        <v>2561409010701</v>
      </c>
      <c r="C8624" s="8" t="s">
        <v>15</v>
      </c>
      <c r="D8624" s="9">
        <v>0</v>
      </c>
      <c r="E8624" s="8">
        <v>326</v>
      </c>
    </row>
    <row r="8625" s="3" customFormat="1" ht="18.75" spans="1:5">
      <c r="A8625" s="8" t="str">
        <f t="shared" si="150"/>
        <v>250035</v>
      </c>
      <c r="B8625" s="8" t="str">
        <f>"2561409010704"</f>
        <v>2561409010704</v>
      </c>
      <c r="C8625" s="8" t="s">
        <v>15</v>
      </c>
      <c r="D8625" s="9">
        <v>0</v>
      </c>
      <c r="E8625" s="8">
        <v>326</v>
      </c>
    </row>
    <row r="8626" s="3" customFormat="1" ht="18.75" spans="1:5">
      <c r="A8626" s="8" t="str">
        <f t="shared" si="150"/>
        <v>250035</v>
      </c>
      <c r="B8626" s="8" t="str">
        <f>"2561409010710"</f>
        <v>2561409010710</v>
      </c>
      <c r="C8626" s="8" t="s">
        <v>15</v>
      </c>
      <c r="D8626" s="9">
        <v>0</v>
      </c>
      <c r="E8626" s="8">
        <v>326</v>
      </c>
    </row>
    <row r="8627" s="3" customFormat="1" ht="18.75" spans="1:5">
      <c r="A8627" s="8" t="str">
        <f t="shared" si="150"/>
        <v>250035</v>
      </c>
      <c r="B8627" s="8" t="str">
        <f>"2561409010715"</f>
        <v>2561409010715</v>
      </c>
      <c r="C8627" s="8" t="s">
        <v>15</v>
      </c>
      <c r="D8627" s="9">
        <v>0</v>
      </c>
      <c r="E8627" s="8">
        <v>326</v>
      </c>
    </row>
    <row r="8628" s="3" customFormat="1" ht="18.75" spans="1:5">
      <c r="A8628" s="8" t="str">
        <f t="shared" si="150"/>
        <v>250035</v>
      </c>
      <c r="B8628" s="8" t="str">
        <f>"2561409010717"</f>
        <v>2561409010717</v>
      </c>
      <c r="C8628" s="8" t="s">
        <v>15</v>
      </c>
      <c r="D8628" s="9">
        <v>0</v>
      </c>
      <c r="E8628" s="8">
        <v>326</v>
      </c>
    </row>
    <row r="8629" s="3" customFormat="1" ht="18.75" spans="1:5">
      <c r="A8629" s="8" t="str">
        <f t="shared" si="150"/>
        <v>250035</v>
      </c>
      <c r="B8629" s="8" t="str">
        <f>"2561409010728"</f>
        <v>2561409010728</v>
      </c>
      <c r="C8629" s="8" t="s">
        <v>15</v>
      </c>
      <c r="D8629" s="9">
        <v>0</v>
      </c>
      <c r="E8629" s="8">
        <v>326</v>
      </c>
    </row>
    <row r="8630" s="3" customFormat="1" ht="18.75" spans="1:5">
      <c r="A8630" s="8" t="str">
        <f t="shared" si="150"/>
        <v>250035</v>
      </c>
      <c r="B8630" s="8" t="str">
        <f>"2561409010802"</f>
        <v>2561409010802</v>
      </c>
      <c r="C8630" s="8" t="s">
        <v>15</v>
      </c>
      <c r="D8630" s="9">
        <v>0</v>
      </c>
      <c r="E8630" s="8">
        <v>326</v>
      </c>
    </row>
    <row r="8631" s="3" customFormat="1" ht="18.75" spans="1:5">
      <c r="A8631" s="8" t="str">
        <f t="shared" si="150"/>
        <v>250035</v>
      </c>
      <c r="B8631" s="8" t="str">
        <f>"2561409010807"</f>
        <v>2561409010807</v>
      </c>
      <c r="C8631" s="8" t="s">
        <v>15</v>
      </c>
      <c r="D8631" s="9">
        <v>0</v>
      </c>
      <c r="E8631" s="8">
        <v>326</v>
      </c>
    </row>
    <row r="8632" s="3" customFormat="1" ht="18.75" spans="1:5">
      <c r="A8632" s="8" t="str">
        <f t="shared" si="150"/>
        <v>250035</v>
      </c>
      <c r="B8632" s="8" t="str">
        <f>"2561409010810"</f>
        <v>2561409010810</v>
      </c>
      <c r="C8632" s="8" t="s">
        <v>15</v>
      </c>
      <c r="D8632" s="9">
        <v>0</v>
      </c>
      <c r="E8632" s="8">
        <v>326</v>
      </c>
    </row>
    <row r="8633" s="3" customFormat="1" ht="18.75" spans="1:5">
      <c r="A8633" s="8" t="str">
        <f t="shared" si="150"/>
        <v>250035</v>
      </c>
      <c r="B8633" s="8" t="str">
        <f>"2561409010816"</f>
        <v>2561409010816</v>
      </c>
      <c r="C8633" s="8" t="s">
        <v>15</v>
      </c>
      <c r="D8633" s="9">
        <v>0</v>
      </c>
      <c r="E8633" s="8">
        <v>326</v>
      </c>
    </row>
    <row r="8634" s="3" customFormat="1" ht="18.75" spans="1:5">
      <c r="A8634" s="8" t="str">
        <f t="shared" si="150"/>
        <v>250035</v>
      </c>
      <c r="B8634" s="8" t="str">
        <f>"2561409010824"</f>
        <v>2561409010824</v>
      </c>
      <c r="C8634" s="8" t="s">
        <v>15</v>
      </c>
      <c r="D8634" s="9">
        <v>0</v>
      </c>
      <c r="E8634" s="8">
        <v>326</v>
      </c>
    </row>
    <row r="8635" s="3" customFormat="1" ht="18.75" spans="1:5">
      <c r="A8635" s="8" t="str">
        <f t="shared" si="150"/>
        <v>250035</v>
      </c>
      <c r="B8635" s="8" t="str">
        <f>"2561409010826"</f>
        <v>2561409010826</v>
      </c>
      <c r="C8635" s="8" t="s">
        <v>15</v>
      </c>
      <c r="D8635" s="9">
        <v>0</v>
      </c>
      <c r="E8635" s="8">
        <v>326</v>
      </c>
    </row>
    <row r="8636" s="3" customFormat="1" ht="18.75" spans="1:5">
      <c r="A8636" s="8" t="str">
        <f t="shared" si="150"/>
        <v>250035</v>
      </c>
      <c r="B8636" s="8" t="str">
        <f>"2561409010827"</f>
        <v>2561409010827</v>
      </c>
      <c r="C8636" s="8" t="s">
        <v>15</v>
      </c>
      <c r="D8636" s="9">
        <v>0</v>
      </c>
      <c r="E8636" s="8">
        <v>326</v>
      </c>
    </row>
    <row r="8637" s="3" customFormat="1" ht="18.75" spans="1:5">
      <c r="A8637" s="8" t="str">
        <f t="shared" si="150"/>
        <v>250035</v>
      </c>
      <c r="B8637" s="8" t="str">
        <f>"2561409010828"</f>
        <v>2561409010828</v>
      </c>
      <c r="C8637" s="8" t="s">
        <v>15</v>
      </c>
      <c r="D8637" s="9">
        <v>0</v>
      </c>
      <c r="E8637" s="8">
        <v>326</v>
      </c>
    </row>
    <row r="8638" s="3" customFormat="1" ht="18.75" spans="1:5">
      <c r="A8638" s="8" t="str">
        <f t="shared" si="150"/>
        <v>250035</v>
      </c>
      <c r="B8638" s="8" t="str">
        <f>"2561409010901"</f>
        <v>2561409010901</v>
      </c>
      <c r="C8638" s="8" t="s">
        <v>15</v>
      </c>
      <c r="D8638" s="9">
        <v>0</v>
      </c>
      <c r="E8638" s="8">
        <v>326</v>
      </c>
    </row>
    <row r="8639" s="3" customFormat="1" ht="18.75" spans="1:5">
      <c r="A8639" s="8" t="str">
        <f t="shared" si="150"/>
        <v>250035</v>
      </c>
      <c r="B8639" s="8" t="str">
        <f>"2561409010903"</f>
        <v>2561409010903</v>
      </c>
      <c r="C8639" s="8" t="s">
        <v>15</v>
      </c>
      <c r="D8639" s="9">
        <v>0</v>
      </c>
      <c r="E8639" s="8">
        <v>326</v>
      </c>
    </row>
    <row r="8640" s="3" customFormat="1" ht="18.75" spans="1:5">
      <c r="A8640" s="8" t="str">
        <f t="shared" si="150"/>
        <v>250035</v>
      </c>
      <c r="B8640" s="8" t="str">
        <f>"2561409010905"</f>
        <v>2561409010905</v>
      </c>
      <c r="C8640" s="8" t="s">
        <v>15</v>
      </c>
      <c r="D8640" s="9">
        <v>0</v>
      </c>
      <c r="E8640" s="8">
        <v>326</v>
      </c>
    </row>
    <row r="8641" s="3" customFormat="1" ht="18.75" spans="1:5">
      <c r="A8641" s="8" t="str">
        <f t="shared" si="150"/>
        <v>250035</v>
      </c>
      <c r="B8641" s="8" t="str">
        <f>"2561409010909"</f>
        <v>2561409010909</v>
      </c>
      <c r="C8641" s="8" t="s">
        <v>15</v>
      </c>
      <c r="D8641" s="9">
        <v>0</v>
      </c>
      <c r="E8641" s="8">
        <v>326</v>
      </c>
    </row>
    <row r="8642" s="3" customFormat="1" ht="18.75" spans="1:5">
      <c r="A8642" s="8" t="str">
        <f t="shared" si="150"/>
        <v>250035</v>
      </c>
      <c r="B8642" s="8" t="str">
        <f>"2561409010914"</f>
        <v>2561409010914</v>
      </c>
      <c r="C8642" s="8" t="s">
        <v>15</v>
      </c>
      <c r="D8642" s="9">
        <v>0</v>
      </c>
      <c r="E8642" s="8">
        <v>326</v>
      </c>
    </row>
    <row r="8643" s="3" customFormat="1" ht="18.75" spans="1:5">
      <c r="A8643" s="8" t="str">
        <f t="shared" si="150"/>
        <v>250035</v>
      </c>
      <c r="B8643" s="8" t="str">
        <f>"2561409010916"</f>
        <v>2561409010916</v>
      </c>
      <c r="C8643" s="8" t="s">
        <v>15</v>
      </c>
      <c r="D8643" s="9">
        <v>0</v>
      </c>
      <c r="E8643" s="8">
        <v>326</v>
      </c>
    </row>
    <row r="8644" s="3" customFormat="1" ht="18.75" spans="1:5">
      <c r="A8644" s="8" t="str">
        <f t="shared" si="150"/>
        <v>250035</v>
      </c>
      <c r="B8644" s="8" t="str">
        <f>"2561409010918"</f>
        <v>2561409010918</v>
      </c>
      <c r="C8644" s="8" t="s">
        <v>15</v>
      </c>
      <c r="D8644" s="9">
        <v>0</v>
      </c>
      <c r="E8644" s="8">
        <v>326</v>
      </c>
    </row>
    <row r="8645" s="3" customFormat="1" ht="18.75" spans="1:5">
      <c r="A8645" s="8" t="str">
        <f t="shared" si="150"/>
        <v>250035</v>
      </c>
      <c r="B8645" s="8" t="str">
        <f>"2561409010919"</f>
        <v>2561409010919</v>
      </c>
      <c r="C8645" s="8" t="s">
        <v>15</v>
      </c>
      <c r="D8645" s="9">
        <v>0</v>
      </c>
      <c r="E8645" s="8">
        <v>326</v>
      </c>
    </row>
    <row r="8646" s="3" customFormat="1" ht="18.75" spans="1:5">
      <c r="A8646" s="8" t="str">
        <f t="shared" si="150"/>
        <v>250035</v>
      </c>
      <c r="B8646" s="8" t="str">
        <f>"2561409010920"</f>
        <v>2561409010920</v>
      </c>
      <c r="C8646" s="8" t="s">
        <v>15</v>
      </c>
      <c r="D8646" s="9">
        <v>0</v>
      </c>
      <c r="E8646" s="8">
        <v>326</v>
      </c>
    </row>
    <row r="8647" s="3" customFormat="1" ht="18.75" spans="1:5">
      <c r="A8647" s="8" t="str">
        <f t="shared" si="150"/>
        <v>250035</v>
      </c>
      <c r="B8647" s="8" t="str">
        <f>"2561409010922"</f>
        <v>2561409010922</v>
      </c>
      <c r="C8647" s="8" t="s">
        <v>15</v>
      </c>
      <c r="D8647" s="9">
        <v>0</v>
      </c>
      <c r="E8647" s="8">
        <v>326</v>
      </c>
    </row>
    <row r="8648" s="3" customFormat="1" ht="18.75" spans="1:5">
      <c r="A8648" s="8" t="str">
        <f t="shared" si="150"/>
        <v>250035</v>
      </c>
      <c r="B8648" s="8" t="str">
        <f>"2561409010924"</f>
        <v>2561409010924</v>
      </c>
      <c r="C8648" s="8" t="s">
        <v>15</v>
      </c>
      <c r="D8648" s="9">
        <v>0</v>
      </c>
      <c r="E8648" s="8">
        <v>326</v>
      </c>
    </row>
    <row r="8649" s="3" customFormat="1" ht="18.75" spans="1:5">
      <c r="A8649" s="8" t="str">
        <f t="shared" si="150"/>
        <v>250035</v>
      </c>
      <c r="B8649" s="8" t="str">
        <f>"2561409010925"</f>
        <v>2561409010925</v>
      </c>
      <c r="C8649" s="8" t="s">
        <v>15</v>
      </c>
      <c r="D8649" s="9">
        <v>0</v>
      </c>
      <c r="E8649" s="8">
        <v>326</v>
      </c>
    </row>
    <row r="8650" s="3" customFormat="1" ht="18.75" spans="1:5">
      <c r="A8650" s="8" t="str">
        <f t="shared" si="150"/>
        <v>250035</v>
      </c>
      <c r="B8650" s="8" t="str">
        <f>"2561409010926"</f>
        <v>2561409010926</v>
      </c>
      <c r="C8650" s="8" t="s">
        <v>15</v>
      </c>
      <c r="D8650" s="9">
        <v>0</v>
      </c>
      <c r="E8650" s="8">
        <v>326</v>
      </c>
    </row>
    <row r="8651" s="3" customFormat="1" ht="18.75" spans="1:5">
      <c r="A8651" s="8" t="str">
        <f t="shared" si="150"/>
        <v>250035</v>
      </c>
      <c r="B8651" s="8" t="str">
        <f>"2561409010928"</f>
        <v>2561409010928</v>
      </c>
      <c r="C8651" s="8" t="s">
        <v>15</v>
      </c>
      <c r="D8651" s="9">
        <v>0</v>
      </c>
      <c r="E8651" s="8">
        <v>326</v>
      </c>
    </row>
    <row r="8652" s="3" customFormat="1" ht="18.75" spans="1:5">
      <c r="A8652" s="8" t="str">
        <f t="shared" si="150"/>
        <v>250035</v>
      </c>
      <c r="B8652" s="8" t="str">
        <f>"2561409010930"</f>
        <v>2561409010930</v>
      </c>
      <c r="C8652" s="8" t="s">
        <v>15</v>
      </c>
      <c r="D8652" s="9">
        <v>0</v>
      </c>
      <c r="E8652" s="8">
        <v>326</v>
      </c>
    </row>
    <row r="8653" s="3" customFormat="1" ht="18.75" spans="1:5">
      <c r="A8653" s="8" t="str">
        <f t="shared" si="150"/>
        <v>250035</v>
      </c>
      <c r="B8653" s="8" t="str">
        <f>"2561409011010"</f>
        <v>2561409011010</v>
      </c>
      <c r="C8653" s="8" t="s">
        <v>15</v>
      </c>
      <c r="D8653" s="9">
        <v>0</v>
      </c>
      <c r="E8653" s="8">
        <v>326</v>
      </c>
    </row>
    <row r="8654" s="3" customFormat="1" ht="18.75" spans="1:5">
      <c r="A8654" s="8" t="str">
        <f t="shared" si="150"/>
        <v>250035</v>
      </c>
      <c r="B8654" s="8" t="str">
        <f>"2561409011011"</f>
        <v>2561409011011</v>
      </c>
      <c r="C8654" s="8" t="s">
        <v>15</v>
      </c>
      <c r="D8654" s="9">
        <v>0</v>
      </c>
      <c r="E8654" s="8">
        <v>326</v>
      </c>
    </row>
    <row r="8655" s="3" customFormat="1" ht="18.75" spans="1:5">
      <c r="A8655" s="8" t="str">
        <f t="shared" si="150"/>
        <v>250035</v>
      </c>
      <c r="B8655" s="8" t="str">
        <f>"2561409011014"</f>
        <v>2561409011014</v>
      </c>
      <c r="C8655" s="8" t="s">
        <v>15</v>
      </c>
      <c r="D8655" s="9">
        <v>0</v>
      </c>
      <c r="E8655" s="8">
        <v>326</v>
      </c>
    </row>
    <row r="8656" s="3" customFormat="1" ht="18.75" spans="1:5">
      <c r="A8656" s="8" t="str">
        <f t="shared" si="150"/>
        <v>250035</v>
      </c>
      <c r="B8656" s="8" t="str">
        <f>"2561409011015"</f>
        <v>2561409011015</v>
      </c>
      <c r="C8656" s="8" t="s">
        <v>15</v>
      </c>
      <c r="D8656" s="9">
        <v>0</v>
      </c>
      <c r="E8656" s="8">
        <v>326</v>
      </c>
    </row>
    <row r="8657" s="3" customFormat="1" ht="18.75" spans="1:5">
      <c r="A8657" s="8" t="str">
        <f t="shared" si="150"/>
        <v>250035</v>
      </c>
      <c r="B8657" s="8" t="str">
        <f>"2561409011017"</f>
        <v>2561409011017</v>
      </c>
      <c r="C8657" s="8" t="s">
        <v>15</v>
      </c>
      <c r="D8657" s="9">
        <v>0</v>
      </c>
      <c r="E8657" s="8">
        <v>326</v>
      </c>
    </row>
    <row r="8658" s="3" customFormat="1" ht="18.75" spans="1:5">
      <c r="A8658" s="8" t="str">
        <f t="shared" si="150"/>
        <v>250035</v>
      </c>
      <c r="B8658" s="8" t="str">
        <f>"2561409011019"</f>
        <v>2561409011019</v>
      </c>
      <c r="C8658" s="8" t="s">
        <v>15</v>
      </c>
      <c r="D8658" s="9">
        <v>0</v>
      </c>
      <c r="E8658" s="8">
        <v>326</v>
      </c>
    </row>
    <row r="8659" s="3" customFormat="1" ht="18.75" spans="1:5">
      <c r="A8659" s="8" t="str">
        <f t="shared" si="150"/>
        <v>250035</v>
      </c>
      <c r="B8659" s="8" t="str">
        <f>"2561409011020"</f>
        <v>2561409011020</v>
      </c>
      <c r="C8659" s="8" t="s">
        <v>15</v>
      </c>
      <c r="D8659" s="9">
        <v>0</v>
      </c>
      <c r="E8659" s="8">
        <v>326</v>
      </c>
    </row>
    <row r="8660" s="3" customFormat="1" ht="18.75" spans="1:5">
      <c r="A8660" s="8" t="str">
        <f t="shared" si="150"/>
        <v>250035</v>
      </c>
      <c r="B8660" s="8" t="str">
        <f>"2561409011021"</f>
        <v>2561409011021</v>
      </c>
      <c r="C8660" s="8" t="s">
        <v>15</v>
      </c>
      <c r="D8660" s="9">
        <v>0</v>
      </c>
      <c r="E8660" s="8">
        <v>326</v>
      </c>
    </row>
    <row r="8661" s="3" customFormat="1" ht="18.75" spans="1:5">
      <c r="A8661" s="8" t="str">
        <f t="shared" si="150"/>
        <v>250035</v>
      </c>
      <c r="B8661" s="8" t="str">
        <f>"2561409011026"</f>
        <v>2561409011026</v>
      </c>
      <c r="C8661" s="8" t="s">
        <v>15</v>
      </c>
      <c r="D8661" s="9">
        <v>0</v>
      </c>
      <c r="E8661" s="8">
        <v>326</v>
      </c>
    </row>
    <row r="8662" s="3" customFormat="1" ht="18.75" spans="1:5">
      <c r="A8662" s="8" t="str">
        <f t="shared" si="150"/>
        <v>250035</v>
      </c>
      <c r="B8662" s="8" t="str">
        <f>"2561409011101"</f>
        <v>2561409011101</v>
      </c>
      <c r="C8662" s="8" t="s">
        <v>15</v>
      </c>
      <c r="D8662" s="9">
        <v>0</v>
      </c>
      <c r="E8662" s="8">
        <v>326</v>
      </c>
    </row>
    <row r="8663" s="3" customFormat="1" ht="18.75" spans="1:5">
      <c r="A8663" s="8" t="str">
        <f t="shared" si="150"/>
        <v>250035</v>
      </c>
      <c r="B8663" s="8" t="str">
        <f>"2561409011103"</f>
        <v>2561409011103</v>
      </c>
      <c r="C8663" s="8" t="s">
        <v>15</v>
      </c>
      <c r="D8663" s="9">
        <v>0</v>
      </c>
      <c r="E8663" s="8">
        <v>326</v>
      </c>
    </row>
    <row r="8664" s="3" customFormat="1" ht="18.75" spans="1:5">
      <c r="A8664" s="8" t="str">
        <f t="shared" si="150"/>
        <v>250035</v>
      </c>
      <c r="B8664" s="8" t="str">
        <f>"2561409011104"</f>
        <v>2561409011104</v>
      </c>
      <c r="C8664" s="8" t="s">
        <v>15</v>
      </c>
      <c r="D8664" s="9">
        <v>0</v>
      </c>
      <c r="E8664" s="8">
        <v>326</v>
      </c>
    </row>
    <row r="8665" s="3" customFormat="1" ht="18.75" spans="1:5">
      <c r="A8665" s="8" t="str">
        <f t="shared" si="150"/>
        <v>250035</v>
      </c>
      <c r="B8665" s="8" t="str">
        <f>"2561409011107"</f>
        <v>2561409011107</v>
      </c>
      <c r="C8665" s="8" t="s">
        <v>15</v>
      </c>
      <c r="D8665" s="9">
        <v>0</v>
      </c>
      <c r="E8665" s="8">
        <v>326</v>
      </c>
    </row>
    <row r="8666" s="3" customFormat="1" ht="18.75" spans="1:5">
      <c r="A8666" s="8" t="str">
        <f t="shared" si="150"/>
        <v>250035</v>
      </c>
      <c r="B8666" s="8" t="str">
        <f>"2561409011113"</f>
        <v>2561409011113</v>
      </c>
      <c r="C8666" s="8" t="s">
        <v>15</v>
      </c>
      <c r="D8666" s="9">
        <v>0</v>
      </c>
      <c r="E8666" s="8">
        <v>326</v>
      </c>
    </row>
    <row r="8667" s="3" customFormat="1" ht="18.75" spans="1:5">
      <c r="A8667" s="8" t="str">
        <f t="shared" si="150"/>
        <v>250035</v>
      </c>
      <c r="B8667" s="8" t="str">
        <f>"2561409011118"</f>
        <v>2561409011118</v>
      </c>
      <c r="C8667" s="8" t="s">
        <v>15</v>
      </c>
      <c r="D8667" s="9">
        <v>0</v>
      </c>
      <c r="E8667" s="8">
        <v>326</v>
      </c>
    </row>
    <row r="8668" s="3" customFormat="1" ht="18.75" spans="1:5">
      <c r="A8668" s="8" t="str">
        <f t="shared" si="150"/>
        <v>250035</v>
      </c>
      <c r="B8668" s="8" t="str">
        <f>"2561409011121"</f>
        <v>2561409011121</v>
      </c>
      <c r="C8668" s="8" t="s">
        <v>15</v>
      </c>
      <c r="D8668" s="9">
        <v>0</v>
      </c>
      <c r="E8668" s="8">
        <v>326</v>
      </c>
    </row>
    <row r="8669" s="3" customFormat="1" ht="18.75" spans="1:5">
      <c r="A8669" s="8" t="str">
        <f t="shared" si="150"/>
        <v>250035</v>
      </c>
      <c r="B8669" s="8" t="str">
        <f>"2561409011202"</f>
        <v>2561409011202</v>
      </c>
      <c r="C8669" s="8" t="s">
        <v>15</v>
      </c>
      <c r="D8669" s="9">
        <v>0</v>
      </c>
      <c r="E8669" s="8">
        <v>326</v>
      </c>
    </row>
    <row r="8670" s="3" customFormat="1" ht="18.75" spans="1:5">
      <c r="A8670" s="8" t="str">
        <f t="shared" si="150"/>
        <v>250035</v>
      </c>
      <c r="B8670" s="8" t="str">
        <f>"2561409011204"</f>
        <v>2561409011204</v>
      </c>
      <c r="C8670" s="8" t="s">
        <v>15</v>
      </c>
      <c r="D8670" s="9">
        <v>0</v>
      </c>
      <c r="E8670" s="8">
        <v>326</v>
      </c>
    </row>
    <row r="8671" s="3" customFormat="1" ht="18.75" spans="1:5">
      <c r="A8671" s="8" t="str">
        <f t="shared" si="150"/>
        <v>250035</v>
      </c>
      <c r="B8671" s="8" t="str">
        <f>"2561409011207"</f>
        <v>2561409011207</v>
      </c>
      <c r="C8671" s="8" t="s">
        <v>15</v>
      </c>
      <c r="D8671" s="9">
        <v>0</v>
      </c>
      <c r="E8671" s="8">
        <v>326</v>
      </c>
    </row>
    <row r="8672" s="3" customFormat="1" ht="18.75" spans="1:5">
      <c r="A8672" s="8" t="str">
        <f t="shared" si="150"/>
        <v>250035</v>
      </c>
      <c r="B8672" s="8" t="str">
        <f>"2561409011209"</f>
        <v>2561409011209</v>
      </c>
      <c r="C8672" s="8" t="s">
        <v>15</v>
      </c>
      <c r="D8672" s="9">
        <v>0</v>
      </c>
      <c r="E8672" s="8">
        <v>326</v>
      </c>
    </row>
    <row r="8673" s="3" customFormat="1" ht="18.75" spans="1:5">
      <c r="A8673" s="8" t="str">
        <f t="shared" si="150"/>
        <v>250035</v>
      </c>
      <c r="B8673" s="8" t="str">
        <f>"2561409011216"</f>
        <v>2561409011216</v>
      </c>
      <c r="C8673" s="8" t="s">
        <v>15</v>
      </c>
      <c r="D8673" s="9">
        <v>0</v>
      </c>
      <c r="E8673" s="8">
        <v>326</v>
      </c>
    </row>
    <row r="8674" s="3" customFormat="1" ht="18.75" spans="1:5">
      <c r="A8674" s="8" t="str">
        <f t="shared" si="150"/>
        <v>250035</v>
      </c>
      <c r="B8674" s="8" t="str">
        <f>"2561409011217"</f>
        <v>2561409011217</v>
      </c>
      <c r="C8674" s="8" t="s">
        <v>15</v>
      </c>
      <c r="D8674" s="9">
        <v>0</v>
      </c>
      <c r="E8674" s="8">
        <v>326</v>
      </c>
    </row>
    <row r="8675" s="3" customFormat="1" ht="18.75" spans="1:5">
      <c r="A8675" s="8" t="str">
        <f t="shared" si="150"/>
        <v>250035</v>
      </c>
      <c r="B8675" s="8" t="str">
        <f>"2561409011222"</f>
        <v>2561409011222</v>
      </c>
      <c r="C8675" s="8" t="s">
        <v>15</v>
      </c>
      <c r="D8675" s="9">
        <v>0</v>
      </c>
      <c r="E8675" s="8">
        <v>326</v>
      </c>
    </row>
    <row r="8676" s="3" customFormat="1" ht="18.75" spans="1:5">
      <c r="A8676" s="8" t="str">
        <f t="shared" si="150"/>
        <v>250035</v>
      </c>
      <c r="B8676" s="8" t="str">
        <f>"2561409011225"</f>
        <v>2561409011225</v>
      </c>
      <c r="C8676" s="8" t="s">
        <v>15</v>
      </c>
      <c r="D8676" s="9">
        <v>0</v>
      </c>
      <c r="E8676" s="8">
        <v>326</v>
      </c>
    </row>
    <row r="8677" s="3" customFormat="1" ht="18.75" spans="1:5">
      <c r="A8677" s="8" t="str">
        <f t="shared" si="150"/>
        <v>250035</v>
      </c>
      <c r="B8677" s="8" t="str">
        <f>"2561409011228"</f>
        <v>2561409011228</v>
      </c>
      <c r="C8677" s="8" t="s">
        <v>15</v>
      </c>
      <c r="D8677" s="9">
        <v>0</v>
      </c>
      <c r="E8677" s="8">
        <v>326</v>
      </c>
    </row>
    <row r="8678" s="3" customFormat="1" ht="18.75" spans="1:5">
      <c r="A8678" s="8" t="str">
        <f t="shared" si="150"/>
        <v>250035</v>
      </c>
      <c r="B8678" s="8" t="str">
        <f>"2561409011229"</f>
        <v>2561409011229</v>
      </c>
      <c r="C8678" s="8" t="s">
        <v>15</v>
      </c>
      <c r="D8678" s="9">
        <v>0</v>
      </c>
      <c r="E8678" s="8">
        <v>326</v>
      </c>
    </row>
    <row r="8679" s="3" customFormat="1" ht="18.75" spans="1:5">
      <c r="A8679" s="8" t="str">
        <f t="shared" si="150"/>
        <v>250035</v>
      </c>
      <c r="B8679" s="8" t="str">
        <f>"2561409011303"</f>
        <v>2561409011303</v>
      </c>
      <c r="C8679" s="8" t="s">
        <v>15</v>
      </c>
      <c r="D8679" s="9">
        <v>0</v>
      </c>
      <c r="E8679" s="8">
        <v>326</v>
      </c>
    </row>
    <row r="8680" s="3" customFormat="1" ht="18.75" spans="1:5">
      <c r="A8680" s="8" t="str">
        <f t="shared" ref="A8680:A8730" si="151">"250035"</f>
        <v>250035</v>
      </c>
      <c r="B8680" s="8" t="str">
        <f>"2561409011305"</f>
        <v>2561409011305</v>
      </c>
      <c r="C8680" s="8" t="s">
        <v>15</v>
      </c>
      <c r="D8680" s="9">
        <v>0</v>
      </c>
      <c r="E8680" s="8">
        <v>326</v>
      </c>
    </row>
    <row r="8681" s="3" customFormat="1" ht="18.75" spans="1:5">
      <c r="A8681" s="8" t="str">
        <f t="shared" si="151"/>
        <v>250035</v>
      </c>
      <c r="B8681" s="8" t="str">
        <f>"2561409011306"</f>
        <v>2561409011306</v>
      </c>
      <c r="C8681" s="8" t="s">
        <v>15</v>
      </c>
      <c r="D8681" s="9">
        <v>0</v>
      </c>
      <c r="E8681" s="8">
        <v>326</v>
      </c>
    </row>
    <row r="8682" s="3" customFormat="1" ht="18.75" spans="1:5">
      <c r="A8682" s="8" t="str">
        <f t="shared" si="151"/>
        <v>250035</v>
      </c>
      <c r="B8682" s="8" t="str">
        <f>"2561409011310"</f>
        <v>2561409011310</v>
      </c>
      <c r="C8682" s="8" t="s">
        <v>15</v>
      </c>
      <c r="D8682" s="9">
        <v>0</v>
      </c>
      <c r="E8682" s="8">
        <v>326</v>
      </c>
    </row>
    <row r="8683" s="3" customFormat="1" ht="18.75" spans="1:5">
      <c r="A8683" s="8" t="str">
        <f t="shared" si="151"/>
        <v>250035</v>
      </c>
      <c r="B8683" s="8" t="str">
        <f>"2561409011314"</f>
        <v>2561409011314</v>
      </c>
      <c r="C8683" s="8" t="s">
        <v>15</v>
      </c>
      <c r="D8683" s="9">
        <v>0</v>
      </c>
      <c r="E8683" s="8">
        <v>326</v>
      </c>
    </row>
    <row r="8684" s="3" customFormat="1" ht="18.75" spans="1:5">
      <c r="A8684" s="8" t="str">
        <f t="shared" si="151"/>
        <v>250035</v>
      </c>
      <c r="B8684" s="8" t="str">
        <f>"2561409011318"</f>
        <v>2561409011318</v>
      </c>
      <c r="C8684" s="8" t="s">
        <v>15</v>
      </c>
      <c r="D8684" s="9">
        <v>0</v>
      </c>
      <c r="E8684" s="8">
        <v>326</v>
      </c>
    </row>
    <row r="8685" s="3" customFormat="1" ht="18.75" spans="1:5">
      <c r="A8685" s="8" t="str">
        <f t="shared" si="151"/>
        <v>250035</v>
      </c>
      <c r="B8685" s="8" t="str">
        <f>"2561409011319"</f>
        <v>2561409011319</v>
      </c>
      <c r="C8685" s="8" t="s">
        <v>15</v>
      </c>
      <c r="D8685" s="9">
        <v>0</v>
      </c>
      <c r="E8685" s="8">
        <v>326</v>
      </c>
    </row>
    <row r="8686" s="3" customFormat="1" ht="18.75" spans="1:5">
      <c r="A8686" s="8" t="str">
        <f t="shared" si="151"/>
        <v>250035</v>
      </c>
      <c r="B8686" s="8" t="str">
        <f>"2561409011322"</f>
        <v>2561409011322</v>
      </c>
      <c r="C8686" s="8" t="s">
        <v>15</v>
      </c>
      <c r="D8686" s="9">
        <v>0</v>
      </c>
      <c r="E8686" s="8">
        <v>326</v>
      </c>
    </row>
    <row r="8687" s="3" customFormat="1" ht="18.75" spans="1:5">
      <c r="A8687" s="8" t="str">
        <f t="shared" si="151"/>
        <v>250035</v>
      </c>
      <c r="B8687" s="8" t="str">
        <f>"2561409011323"</f>
        <v>2561409011323</v>
      </c>
      <c r="C8687" s="8" t="s">
        <v>15</v>
      </c>
      <c r="D8687" s="9">
        <v>0</v>
      </c>
      <c r="E8687" s="8">
        <v>326</v>
      </c>
    </row>
    <row r="8688" s="3" customFormat="1" ht="18.75" spans="1:5">
      <c r="A8688" s="8" t="str">
        <f t="shared" si="151"/>
        <v>250035</v>
      </c>
      <c r="B8688" s="8" t="str">
        <f>"2561409011326"</f>
        <v>2561409011326</v>
      </c>
      <c r="C8688" s="8" t="s">
        <v>15</v>
      </c>
      <c r="D8688" s="9">
        <v>0</v>
      </c>
      <c r="E8688" s="8">
        <v>326</v>
      </c>
    </row>
    <row r="8689" s="3" customFormat="1" ht="18.75" spans="1:5">
      <c r="A8689" s="8" t="str">
        <f t="shared" si="151"/>
        <v>250035</v>
      </c>
      <c r="B8689" s="8" t="str">
        <f>"2561409011329"</f>
        <v>2561409011329</v>
      </c>
      <c r="C8689" s="8" t="s">
        <v>15</v>
      </c>
      <c r="D8689" s="9">
        <v>0</v>
      </c>
      <c r="E8689" s="8">
        <v>326</v>
      </c>
    </row>
    <row r="8690" s="3" customFormat="1" ht="18.75" spans="1:5">
      <c r="A8690" s="8" t="str">
        <f t="shared" si="151"/>
        <v>250035</v>
      </c>
      <c r="B8690" s="8" t="str">
        <f>"2561409011401"</f>
        <v>2561409011401</v>
      </c>
      <c r="C8690" s="8" t="s">
        <v>15</v>
      </c>
      <c r="D8690" s="9">
        <v>0</v>
      </c>
      <c r="E8690" s="8">
        <v>326</v>
      </c>
    </row>
    <row r="8691" s="3" customFormat="1" ht="18.75" spans="1:5">
      <c r="A8691" s="8" t="str">
        <f t="shared" si="151"/>
        <v>250035</v>
      </c>
      <c r="B8691" s="8" t="str">
        <f>"2561409011405"</f>
        <v>2561409011405</v>
      </c>
      <c r="C8691" s="8" t="s">
        <v>15</v>
      </c>
      <c r="D8691" s="9">
        <v>0</v>
      </c>
      <c r="E8691" s="8">
        <v>326</v>
      </c>
    </row>
    <row r="8692" s="3" customFormat="1" ht="18.75" spans="1:5">
      <c r="A8692" s="8" t="str">
        <f t="shared" si="151"/>
        <v>250035</v>
      </c>
      <c r="B8692" s="8" t="str">
        <f>"2561409011406"</f>
        <v>2561409011406</v>
      </c>
      <c r="C8692" s="8" t="s">
        <v>15</v>
      </c>
      <c r="D8692" s="9">
        <v>0</v>
      </c>
      <c r="E8692" s="8">
        <v>326</v>
      </c>
    </row>
    <row r="8693" s="3" customFormat="1" ht="18.75" spans="1:5">
      <c r="A8693" s="8" t="str">
        <f t="shared" si="151"/>
        <v>250035</v>
      </c>
      <c r="B8693" s="8" t="str">
        <f>"2561409011407"</f>
        <v>2561409011407</v>
      </c>
      <c r="C8693" s="8" t="s">
        <v>15</v>
      </c>
      <c r="D8693" s="9">
        <v>0</v>
      </c>
      <c r="E8693" s="8">
        <v>326</v>
      </c>
    </row>
    <row r="8694" s="3" customFormat="1" ht="18.75" spans="1:5">
      <c r="A8694" s="8" t="str">
        <f t="shared" si="151"/>
        <v>250035</v>
      </c>
      <c r="B8694" s="8" t="str">
        <f>"2561409011409"</f>
        <v>2561409011409</v>
      </c>
      <c r="C8694" s="8" t="s">
        <v>15</v>
      </c>
      <c r="D8694" s="9">
        <v>0</v>
      </c>
      <c r="E8694" s="8">
        <v>326</v>
      </c>
    </row>
    <row r="8695" s="3" customFormat="1" ht="18.75" spans="1:5">
      <c r="A8695" s="8" t="str">
        <f t="shared" si="151"/>
        <v>250035</v>
      </c>
      <c r="B8695" s="8" t="str">
        <f>"2561409011410"</f>
        <v>2561409011410</v>
      </c>
      <c r="C8695" s="8" t="s">
        <v>15</v>
      </c>
      <c r="D8695" s="9">
        <v>0</v>
      </c>
      <c r="E8695" s="8">
        <v>326</v>
      </c>
    </row>
    <row r="8696" s="3" customFormat="1" ht="18.75" spans="1:5">
      <c r="A8696" s="8" t="str">
        <f t="shared" si="151"/>
        <v>250035</v>
      </c>
      <c r="B8696" s="8" t="str">
        <f>"2561409011413"</f>
        <v>2561409011413</v>
      </c>
      <c r="C8696" s="8" t="s">
        <v>15</v>
      </c>
      <c r="D8696" s="9">
        <v>0</v>
      </c>
      <c r="E8696" s="8">
        <v>326</v>
      </c>
    </row>
    <row r="8697" s="3" customFormat="1" ht="18.75" spans="1:5">
      <c r="A8697" s="8" t="str">
        <f t="shared" si="151"/>
        <v>250035</v>
      </c>
      <c r="B8697" s="8" t="str">
        <f>"2561409011416"</f>
        <v>2561409011416</v>
      </c>
      <c r="C8697" s="8" t="s">
        <v>15</v>
      </c>
      <c r="D8697" s="9">
        <v>0</v>
      </c>
      <c r="E8697" s="8">
        <v>326</v>
      </c>
    </row>
    <row r="8698" s="3" customFormat="1" ht="18.75" spans="1:5">
      <c r="A8698" s="8" t="str">
        <f t="shared" si="151"/>
        <v>250035</v>
      </c>
      <c r="B8698" s="8" t="str">
        <f>"2561409011423"</f>
        <v>2561409011423</v>
      </c>
      <c r="C8698" s="8" t="s">
        <v>15</v>
      </c>
      <c r="D8698" s="9">
        <v>0</v>
      </c>
      <c r="E8698" s="8">
        <v>326</v>
      </c>
    </row>
    <row r="8699" s="3" customFormat="1" ht="18.75" spans="1:5">
      <c r="A8699" s="8" t="str">
        <f t="shared" si="151"/>
        <v>250035</v>
      </c>
      <c r="B8699" s="8" t="str">
        <f>"2561409011424"</f>
        <v>2561409011424</v>
      </c>
      <c r="C8699" s="8" t="s">
        <v>15</v>
      </c>
      <c r="D8699" s="9">
        <v>0</v>
      </c>
      <c r="E8699" s="8">
        <v>326</v>
      </c>
    </row>
    <row r="8700" s="3" customFormat="1" ht="18.75" spans="1:5">
      <c r="A8700" s="8" t="str">
        <f t="shared" si="151"/>
        <v>250035</v>
      </c>
      <c r="B8700" s="8" t="str">
        <f>"2561409011425"</f>
        <v>2561409011425</v>
      </c>
      <c r="C8700" s="8" t="s">
        <v>15</v>
      </c>
      <c r="D8700" s="9">
        <v>0</v>
      </c>
      <c r="E8700" s="8">
        <v>326</v>
      </c>
    </row>
    <row r="8701" s="3" customFormat="1" ht="18.75" spans="1:5">
      <c r="A8701" s="8" t="str">
        <f t="shared" si="151"/>
        <v>250035</v>
      </c>
      <c r="B8701" s="8" t="str">
        <f>"2561409011426"</f>
        <v>2561409011426</v>
      </c>
      <c r="C8701" s="8" t="s">
        <v>15</v>
      </c>
      <c r="D8701" s="9">
        <v>0</v>
      </c>
      <c r="E8701" s="8">
        <v>326</v>
      </c>
    </row>
    <row r="8702" s="3" customFormat="1" ht="18.75" spans="1:5">
      <c r="A8702" s="8" t="str">
        <f t="shared" si="151"/>
        <v>250035</v>
      </c>
      <c r="B8702" s="8" t="str">
        <f>"2561409011427"</f>
        <v>2561409011427</v>
      </c>
      <c r="C8702" s="8" t="s">
        <v>15</v>
      </c>
      <c r="D8702" s="9">
        <v>0</v>
      </c>
      <c r="E8702" s="8">
        <v>326</v>
      </c>
    </row>
    <row r="8703" s="3" customFormat="1" ht="18.75" spans="1:5">
      <c r="A8703" s="8" t="str">
        <f t="shared" si="151"/>
        <v>250035</v>
      </c>
      <c r="B8703" s="8" t="str">
        <f>"2561409011428"</f>
        <v>2561409011428</v>
      </c>
      <c r="C8703" s="8" t="s">
        <v>15</v>
      </c>
      <c r="D8703" s="9">
        <v>0</v>
      </c>
      <c r="E8703" s="8">
        <v>326</v>
      </c>
    </row>
    <row r="8704" s="3" customFormat="1" ht="18.75" spans="1:5">
      <c r="A8704" s="8" t="str">
        <f t="shared" si="151"/>
        <v>250035</v>
      </c>
      <c r="B8704" s="8" t="str">
        <f>"2561409011429"</f>
        <v>2561409011429</v>
      </c>
      <c r="C8704" s="8" t="s">
        <v>15</v>
      </c>
      <c r="D8704" s="9">
        <v>0</v>
      </c>
      <c r="E8704" s="8">
        <v>326</v>
      </c>
    </row>
    <row r="8705" s="3" customFormat="1" ht="18.75" spans="1:5">
      <c r="A8705" s="8" t="str">
        <f t="shared" si="151"/>
        <v>250035</v>
      </c>
      <c r="B8705" s="8" t="str">
        <f>"2561409011506"</f>
        <v>2561409011506</v>
      </c>
      <c r="C8705" s="8" t="s">
        <v>15</v>
      </c>
      <c r="D8705" s="9">
        <v>0</v>
      </c>
      <c r="E8705" s="8">
        <v>326</v>
      </c>
    </row>
    <row r="8706" s="3" customFormat="1" ht="18.75" spans="1:5">
      <c r="A8706" s="8" t="str">
        <f t="shared" si="151"/>
        <v>250035</v>
      </c>
      <c r="B8706" s="8" t="str">
        <f>"2561409011509"</f>
        <v>2561409011509</v>
      </c>
      <c r="C8706" s="8" t="s">
        <v>15</v>
      </c>
      <c r="D8706" s="9">
        <v>0</v>
      </c>
      <c r="E8706" s="8">
        <v>326</v>
      </c>
    </row>
    <row r="8707" s="3" customFormat="1" ht="18.75" spans="1:5">
      <c r="A8707" s="8" t="str">
        <f t="shared" si="151"/>
        <v>250035</v>
      </c>
      <c r="B8707" s="8" t="str">
        <f>"2561409011512"</f>
        <v>2561409011512</v>
      </c>
      <c r="C8707" s="8" t="s">
        <v>15</v>
      </c>
      <c r="D8707" s="9">
        <v>0</v>
      </c>
      <c r="E8707" s="8">
        <v>326</v>
      </c>
    </row>
    <row r="8708" s="3" customFormat="1" ht="18.75" spans="1:5">
      <c r="A8708" s="8" t="str">
        <f t="shared" si="151"/>
        <v>250035</v>
      </c>
      <c r="B8708" s="8" t="str">
        <f>"2561409011513"</f>
        <v>2561409011513</v>
      </c>
      <c r="C8708" s="8" t="s">
        <v>15</v>
      </c>
      <c r="D8708" s="9">
        <v>0</v>
      </c>
      <c r="E8708" s="8">
        <v>326</v>
      </c>
    </row>
    <row r="8709" s="3" customFormat="1" ht="18.75" spans="1:5">
      <c r="A8709" s="8" t="str">
        <f t="shared" si="151"/>
        <v>250035</v>
      </c>
      <c r="B8709" s="8" t="str">
        <f>"2561409011514"</f>
        <v>2561409011514</v>
      </c>
      <c r="C8709" s="8" t="s">
        <v>15</v>
      </c>
      <c r="D8709" s="9">
        <v>0</v>
      </c>
      <c r="E8709" s="8">
        <v>326</v>
      </c>
    </row>
    <row r="8710" s="3" customFormat="1" ht="18.75" spans="1:5">
      <c r="A8710" s="8" t="str">
        <f t="shared" si="151"/>
        <v>250035</v>
      </c>
      <c r="B8710" s="8" t="str">
        <f>"2561409011516"</f>
        <v>2561409011516</v>
      </c>
      <c r="C8710" s="8" t="s">
        <v>15</v>
      </c>
      <c r="D8710" s="9">
        <v>0</v>
      </c>
      <c r="E8710" s="8">
        <v>326</v>
      </c>
    </row>
    <row r="8711" s="3" customFormat="1" ht="18.75" spans="1:5">
      <c r="A8711" s="8" t="str">
        <f t="shared" si="151"/>
        <v>250035</v>
      </c>
      <c r="B8711" s="8" t="str">
        <f>"2561409011517"</f>
        <v>2561409011517</v>
      </c>
      <c r="C8711" s="8" t="s">
        <v>15</v>
      </c>
      <c r="D8711" s="9">
        <v>0</v>
      </c>
      <c r="E8711" s="8">
        <v>326</v>
      </c>
    </row>
    <row r="8712" s="3" customFormat="1" ht="18.75" spans="1:5">
      <c r="A8712" s="8" t="str">
        <f t="shared" si="151"/>
        <v>250035</v>
      </c>
      <c r="B8712" s="8" t="str">
        <f>"2561409011519"</f>
        <v>2561409011519</v>
      </c>
      <c r="C8712" s="8" t="s">
        <v>15</v>
      </c>
      <c r="D8712" s="9">
        <v>0</v>
      </c>
      <c r="E8712" s="8">
        <v>326</v>
      </c>
    </row>
    <row r="8713" s="3" customFormat="1" ht="18.75" spans="1:5">
      <c r="A8713" s="8" t="str">
        <f t="shared" si="151"/>
        <v>250035</v>
      </c>
      <c r="B8713" s="8" t="str">
        <f>"2561409011522"</f>
        <v>2561409011522</v>
      </c>
      <c r="C8713" s="8" t="s">
        <v>15</v>
      </c>
      <c r="D8713" s="9">
        <v>0</v>
      </c>
      <c r="E8713" s="8">
        <v>326</v>
      </c>
    </row>
    <row r="8714" s="3" customFormat="1" ht="18.75" spans="1:5">
      <c r="A8714" s="8" t="str">
        <f t="shared" si="151"/>
        <v>250035</v>
      </c>
      <c r="B8714" s="8" t="str">
        <f>"2561409011523"</f>
        <v>2561409011523</v>
      </c>
      <c r="C8714" s="8" t="s">
        <v>15</v>
      </c>
      <c r="D8714" s="9">
        <v>0</v>
      </c>
      <c r="E8714" s="8">
        <v>326</v>
      </c>
    </row>
    <row r="8715" s="3" customFormat="1" ht="18.75" spans="1:5">
      <c r="A8715" s="8" t="str">
        <f t="shared" si="151"/>
        <v>250035</v>
      </c>
      <c r="B8715" s="8" t="str">
        <f>"2561409011524"</f>
        <v>2561409011524</v>
      </c>
      <c r="C8715" s="8" t="s">
        <v>15</v>
      </c>
      <c r="D8715" s="9">
        <v>0</v>
      </c>
      <c r="E8715" s="8">
        <v>326</v>
      </c>
    </row>
    <row r="8716" s="3" customFormat="1" ht="18.75" spans="1:5">
      <c r="A8716" s="8" t="str">
        <f t="shared" si="151"/>
        <v>250035</v>
      </c>
      <c r="B8716" s="8" t="str">
        <f>"2561409011529"</f>
        <v>2561409011529</v>
      </c>
      <c r="C8716" s="8" t="s">
        <v>15</v>
      </c>
      <c r="D8716" s="9">
        <v>0</v>
      </c>
      <c r="E8716" s="8">
        <v>326</v>
      </c>
    </row>
    <row r="8717" s="3" customFormat="1" ht="18.75" spans="1:5">
      <c r="A8717" s="8" t="str">
        <f t="shared" si="151"/>
        <v>250035</v>
      </c>
      <c r="B8717" s="8" t="str">
        <f>"2561409011530"</f>
        <v>2561409011530</v>
      </c>
      <c r="C8717" s="8" t="s">
        <v>15</v>
      </c>
      <c r="D8717" s="9">
        <v>0</v>
      </c>
      <c r="E8717" s="8">
        <v>326</v>
      </c>
    </row>
    <row r="8718" s="3" customFormat="1" ht="18.75" spans="1:5">
      <c r="A8718" s="8" t="str">
        <f t="shared" si="151"/>
        <v>250035</v>
      </c>
      <c r="B8718" s="8" t="str">
        <f>"2561409011601"</f>
        <v>2561409011601</v>
      </c>
      <c r="C8718" s="8" t="s">
        <v>15</v>
      </c>
      <c r="D8718" s="9">
        <v>0</v>
      </c>
      <c r="E8718" s="8">
        <v>326</v>
      </c>
    </row>
    <row r="8719" s="3" customFormat="1" ht="18.75" spans="1:5">
      <c r="A8719" s="8" t="str">
        <f t="shared" si="151"/>
        <v>250035</v>
      </c>
      <c r="B8719" s="8" t="str">
        <f>"2561409011606"</f>
        <v>2561409011606</v>
      </c>
      <c r="C8719" s="8" t="s">
        <v>15</v>
      </c>
      <c r="D8719" s="9">
        <v>0</v>
      </c>
      <c r="E8719" s="8">
        <v>326</v>
      </c>
    </row>
    <row r="8720" s="3" customFormat="1" ht="18.75" spans="1:5">
      <c r="A8720" s="8" t="str">
        <f t="shared" si="151"/>
        <v>250035</v>
      </c>
      <c r="B8720" s="8" t="str">
        <f>"2561409011610"</f>
        <v>2561409011610</v>
      </c>
      <c r="C8720" s="8" t="s">
        <v>15</v>
      </c>
      <c r="D8720" s="9">
        <v>0</v>
      </c>
      <c r="E8720" s="8">
        <v>326</v>
      </c>
    </row>
    <row r="8721" s="3" customFormat="1" ht="18.75" spans="1:5">
      <c r="A8721" s="8" t="str">
        <f t="shared" si="151"/>
        <v>250035</v>
      </c>
      <c r="B8721" s="8" t="str">
        <f>"2561409011612"</f>
        <v>2561409011612</v>
      </c>
      <c r="C8721" s="8" t="s">
        <v>15</v>
      </c>
      <c r="D8721" s="9">
        <v>0</v>
      </c>
      <c r="E8721" s="8">
        <v>326</v>
      </c>
    </row>
    <row r="8722" s="3" customFormat="1" ht="18.75" spans="1:5">
      <c r="A8722" s="8" t="str">
        <f t="shared" si="151"/>
        <v>250035</v>
      </c>
      <c r="B8722" s="8" t="str">
        <f>"2561409011615"</f>
        <v>2561409011615</v>
      </c>
      <c r="C8722" s="8" t="s">
        <v>15</v>
      </c>
      <c r="D8722" s="9">
        <v>0</v>
      </c>
      <c r="E8722" s="8">
        <v>326</v>
      </c>
    </row>
    <row r="8723" s="3" customFormat="1" ht="18.75" spans="1:5">
      <c r="A8723" s="8" t="str">
        <f t="shared" si="151"/>
        <v>250035</v>
      </c>
      <c r="B8723" s="8" t="str">
        <f>"2561409011621"</f>
        <v>2561409011621</v>
      </c>
      <c r="C8723" s="8" t="s">
        <v>15</v>
      </c>
      <c r="D8723" s="9">
        <v>0</v>
      </c>
      <c r="E8723" s="8">
        <v>326</v>
      </c>
    </row>
    <row r="8724" s="3" customFormat="1" ht="18.75" spans="1:5">
      <c r="A8724" s="8" t="str">
        <f t="shared" si="151"/>
        <v>250035</v>
      </c>
      <c r="B8724" s="8" t="str">
        <f>"2561409011626"</f>
        <v>2561409011626</v>
      </c>
      <c r="C8724" s="8" t="s">
        <v>15</v>
      </c>
      <c r="D8724" s="9">
        <v>0</v>
      </c>
      <c r="E8724" s="8">
        <v>326</v>
      </c>
    </row>
    <row r="8725" s="3" customFormat="1" ht="18.75" spans="1:5">
      <c r="A8725" s="8" t="str">
        <f t="shared" si="151"/>
        <v>250035</v>
      </c>
      <c r="B8725" s="8" t="str">
        <f>"2561409011627"</f>
        <v>2561409011627</v>
      </c>
      <c r="C8725" s="8" t="s">
        <v>15</v>
      </c>
      <c r="D8725" s="9">
        <v>0</v>
      </c>
      <c r="E8725" s="8">
        <v>326</v>
      </c>
    </row>
    <row r="8726" s="3" customFormat="1" ht="18.75" spans="1:5">
      <c r="A8726" s="8" t="str">
        <f t="shared" si="151"/>
        <v>250035</v>
      </c>
      <c r="B8726" s="8" t="str">
        <f>"2561409011701"</f>
        <v>2561409011701</v>
      </c>
      <c r="C8726" s="8" t="s">
        <v>15</v>
      </c>
      <c r="D8726" s="9">
        <v>0</v>
      </c>
      <c r="E8726" s="8">
        <v>326</v>
      </c>
    </row>
    <row r="8727" s="3" customFormat="1" ht="18.75" spans="1:5">
      <c r="A8727" s="8" t="str">
        <f t="shared" si="151"/>
        <v>250035</v>
      </c>
      <c r="B8727" s="8" t="str">
        <f>"2561409011710"</f>
        <v>2561409011710</v>
      </c>
      <c r="C8727" s="8" t="s">
        <v>15</v>
      </c>
      <c r="D8727" s="9">
        <v>0</v>
      </c>
      <c r="E8727" s="8">
        <v>326</v>
      </c>
    </row>
    <row r="8728" s="3" customFormat="1" ht="18.75" spans="1:5">
      <c r="A8728" s="8" t="str">
        <f t="shared" si="151"/>
        <v>250035</v>
      </c>
      <c r="B8728" s="8" t="str">
        <f>"2561409011711"</f>
        <v>2561409011711</v>
      </c>
      <c r="C8728" s="8" t="s">
        <v>15</v>
      </c>
      <c r="D8728" s="9">
        <v>0</v>
      </c>
      <c r="E8728" s="8">
        <v>326</v>
      </c>
    </row>
    <row r="8729" s="3" customFormat="1" ht="18.75" spans="1:5">
      <c r="A8729" s="8" t="str">
        <f t="shared" si="151"/>
        <v>250035</v>
      </c>
      <c r="B8729" s="8" t="str">
        <f>"2561409011712"</f>
        <v>2561409011712</v>
      </c>
      <c r="C8729" s="8" t="s">
        <v>15</v>
      </c>
      <c r="D8729" s="9">
        <v>0</v>
      </c>
      <c r="E8729" s="8">
        <v>326</v>
      </c>
    </row>
    <row r="8730" s="3" customFormat="1" ht="18.75" spans="1:5">
      <c r="A8730" s="8" t="str">
        <f t="shared" si="151"/>
        <v>250035</v>
      </c>
      <c r="B8730" s="8" t="str">
        <f>"2561409011715"</f>
        <v>2561409011715</v>
      </c>
      <c r="C8730" s="8" t="s">
        <v>15</v>
      </c>
      <c r="D8730" s="9">
        <v>0</v>
      </c>
      <c r="E8730" s="8">
        <v>326</v>
      </c>
    </row>
    <row r="8731" s="3" customFormat="1" ht="18.75" spans="1:5">
      <c r="A8731" s="8" t="str">
        <f t="shared" ref="A8731:A8794" si="152">"250036"</f>
        <v>250036</v>
      </c>
      <c r="B8731" s="8" t="str">
        <f>"2561409012328"</f>
        <v>2561409012328</v>
      </c>
      <c r="C8731" s="8" t="s">
        <v>15</v>
      </c>
      <c r="D8731" s="9">
        <v>75.82</v>
      </c>
      <c r="E8731" s="8">
        <v>1</v>
      </c>
    </row>
    <row r="8732" s="3" customFormat="1" ht="18.75" spans="1:5">
      <c r="A8732" s="8" t="str">
        <f t="shared" si="152"/>
        <v>250036</v>
      </c>
      <c r="B8732" s="8" t="str">
        <f>"2561409012317"</f>
        <v>2561409012317</v>
      </c>
      <c r="C8732" s="8" t="s">
        <v>15</v>
      </c>
      <c r="D8732" s="9">
        <v>72.67</v>
      </c>
      <c r="E8732" s="8">
        <v>2</v>
      </c>
    </row>
    <row r="8733" s="3" customFormat="1" ht="18.75" spans="1:5">
      <c r="A8733" s="8" t="str">
        <f t="shared" si="152"/>
        <v>250036</v>
      </c>
      <c r="B8733" s="8" t="str">
        <f>"2561409012830"</f>
        <v>2561409012830</v>
      </c>
      <c r="C8733" s="8" t="s">
        <v>15</v>
      </c>
      <c r="D8733" s="9">
        <v>70.73</v>
      </c>
      <c r="E8733" s="8">
        <v>3</v>
      </c>
    </row>
    <row r="8734" s="3" customFormat="1" ht="18.75" spans="1:5">
      <c r="A8734" s="8" t="str">
        <f t="shared" si="152"/>
        <v>250036</v>
      </c>
      <c r="B8734" s="8" t="str">
        <f>"2561409013629"</f>
        <v>2561409013629</v>
      </c>
      <c r="C8734" s="8" t="s">
        <v>15</v>
      </c>
      <c r="D8734" s="9">
        <v>69.38</v>
      </c>
      <c r="E8734" s="8">
        <v>4</v>
      </c>
    </row>
    <row r="8735" s="3" customFormat="1" ht="18.75" spans="1:5">
      <c r="A8735" s="8" t="str">
        <f t="shared" si="152"/>
        <v>250036</v>
      </c>
      <c r="B8735" s="8" t="str">
        <f>"2561409013724"</f>
        <v>2561409013724</v>
      </c>
      <c r="C8735" s="8" t="s">
        <v>15</v>
      </c>
      <c r="D8735" s="9">
        <v>69.32</v>
      </c>
      <c r="E8735" s="8">
        <v>5</v>
      </c>
    </row>
    <row r="8736" s="3" customFormat="1" ht="18.75" spans="1:5">
      <c r="A8736" s="8" t="str">
        <f t="shared" si="152"/>
        <v>250036</v>
      </c>
      <c r="B8736" s="8" t="str">
        <f>"2561409012614"</f>
        <v>2561409012614</v>
      </c>
      <c r="C8736" s="8" t="s">
        <v>15</v>
      </c>
      <c r="D8736" s="9">
        <v>68.43</v>
      </c>
      <c r="E8736" s="8">
        <v>6</v>
      </c>
    </row>
    <row r="8737" s="3" customFormat="1" ht="18.75" spans="1:5">
      <c r="A8737" s="8" t="str">
        <f t="shared" si="152"/>
        <v>250036</v>
      </c>
      <c r="B8737" s="8" t="str">
        <f>"2561409012727"</f>
        <v>2561409012727</v>
      </c>
      <c r="C8737" s="8" t="s">
        <v>15</v>
      </c>
      <c r="D8737" s="9">
        <v>67.59</v>
      </c>
      <c r="E8737" s="8">
        <v>7</v>
      </c>
    </row>
    <row r="8738" s="3" customFormat="1" ht="18.75" spans="1:5">
      <c r="A8738" s="8" t="str">
        <f t="shared" si="152"/>
        <v>250036</v>
      </c>
      <c r="B8738" s="8" t="str">
        <f>"2561409011902"</f>
        <v>2561409011902</v>
      </c>
      <c r="C8738" s="8" t="s">
        <v>15</v>
      </c>
      <c r="D8738" s="9">
        <v>66.74</v>
      </c>
      <c r="E8738" s="8">
        <v>8</v>
      </c>
    </row>
    <row r="8739" s="3" customFormat="1" ht="18.75" spans="1:5">
      <c r="A8739" s="8" t="str">
        <f t="shared" si="152"/>
        <v>250036</v>
      </c>
      <c r="B8739" s="8" t="str">
        <f>"2561409013510"</f>
        <v>2561409013510</v>
      </c>
      <c r="C8739" s="8" t="s">
        <v>15</v>
      </c>
      <c r="D8739" s="9">
        <v>66.47</v>
      </c>
      <c r="E8739" s="8">
        <v>9</v>
      </c>
    </row>
    <row r="8740" s="3" customFormat="1" ht="18.75" spans="1:5">
      <c r="A8740" s="8" t="str">
        <f t="shared" si="152"/>
        <v>250036</v>
      </c>
      <c r="B8740" s="8" t="str">
        <f>"2561409012824"</f>
        <v>2561409012824</v>
      </c>
      <c r="C8740" s="8" t="s">
        <v>15</v>
      </c>
      <c r="D8740" s="9">
        <v>66.46</v>
      </c>
      <c r="E8740" s="8">
        <v>10</v>
      </c>
    </row>
    <row r="8741" s="3" customFormat="1" ht="18.75" spans="1:5">
      <c r="A8741" s="8" t="str">
        <f t="shared" si="152"/>
        <v>250036</v>
      </c>
      <c r="B8741" s="8" t="str">
        <f>"2561409013214"</f>
        <v>2561409013214</v>
      </c>
      <c r="C8741" s="8" t="s">
        <v>15</v>
      </c>
      <c r="D8741" s="9">
        <v>66.27</v>
      </c>
      <c r="E8741" s="8">
        <v>11</v>
      </c>
    </row>
    <row r="8742" s="3" customFormat="1" ht="18.75" spans="1:5">
      <c r="A8742" s="8" t="str">
        <f t="shared" si="152"/>
        <v>250036</v>
      </c>
      <c r="B8742" s="8" t="str">
        <f>"2561409012602"</f>
        <v>2561409012602</v>
      </c>
      <c r="C8742" s="8" t="s">
        <v>15</v>
      </c>
      <c r="D8742" s="9">
        <v>66.16</v>
      </c>
      <c r="E8742" s="8">
        <v>12</v>
      </c>
    </row>
    <row r="8743" s="3" customFormat="1" ht="18.75" spans="1:5">
      <c r="A8743" s="8" t="str">
        <f t="shared" si="152"/>
        <v>250036</v>
      </c>
      <c r="B8743" s="8" t="str">
        <f>"2561409013522"</f>
        <v>2561409013522</v>
      </c>
      <c r="C8743" s="8" t="s">
        <v>15</v>
      </c>
      <c r="D8743" s="9">
        <v>66.07</v>
      </c>
      <c r="E8743" s="8">
        <v>13</v>
      </c>
    </row>
    <row r="8744" s="3" customFormat="1" ht="18.75" spans="1:5">
      <c r="A8744" s="8" t="str">
        <f t="shared" si="152"/>
        <v>250036</v>
      </c>
      <c r="B8744" s="8" t="str">
        <f>"2561409012314"</f>
        <v>2561409012314</v>
      </c>
      <c r="C8744" s="8" t="s">
        <v>15</v>
      </c>
      <c r="D8744" s="9">
        <v>66</v>
      </c>
      <c r="E8744" s="8">
        <v>14</v>
      </c>
    </row>
    <row r="8745" s="3" customFormat="1" ht="18.75" spans="1:5">
      <c r="A8745" s="8" t="str">
        <f t="shared" si="152"/>
        <v>250036</v>
      </c>
      <c r="B8745" s="8" t="str">
        <f>"2561409012726"</f>
        <v>2561409012726</v>
      </c>
      <c r="C8745" s="8" t="s">
        <v>15</v>
      </c>
      <c r="D8745" s="9">
        <v>65.96</v>
      </c>
      <c r="E8745" s="8">
        <v>15</v>
      </c>
    </row>
    <row r="8746" s="3" customFormat="1" ht="18.75" spans="1:5">
      <c r="A8746" s="8" t="str">
        <f t="shared" si="152"/>
        <v>250036</v>
      </c>
      <c r="B8746" s="8" t="str">
        <f>"2561409013327"</f>
        <v>2561409013327</v>
      </c>
      <c r="C8746" s="8" t="s">
        <v>15</v>
      </c>
      <c r="D8746" s="9">
        <v>65.94</v>
      </c>
      <c r="E8746" s="8">
        <v>16</v>
      </c>
    </row>
    <row r="8747" s="3" customFormat="1" ht="18.75" spans="1:5">
      <c r="A8747" s="8" t="str">
        <f t="shared" si="152"/>
        <v>250036</v>
      </c>
      <c r="B8747" s="8" t="str">
        <f>"2561409012626"</f>
        <v>2561409012626</v>
      </c>
      <c r="C8747" s="8" t="s">
        <v>15</v>
      </c>
      <c r="D8747" s="9">
        <v>65.93</v>
      </c>
      <c r="E8747" s="8">
        <v>17</v>
      </c>
    </row>
    <row r="8748" s="3" customFormat="1" ht="18.75" spans="1:5">
      <c r="A8748" s="8" t="str">
        <f t="shared" si="152"/>
        <v>250036</v>
      </c>
      <c r="B8748" s="8" t="str">
        <f>"2561409013518"</f>
        <v>2561409013518</v>
      </c>
      <c r="C8748" s="8" t="s">
        <v>15</v>
      </c>
      <c r="D8748" s="9">
        <v>65.3</v>
      </c>
      <c r="E8748" s="8">
        <v>18</v>
      </c>
    </row>
    <row r="8749" s="3" customFormat="1" ht="18.75" spans="1:5">
      <c r="A8749" s="8" t="str">
        <f t="shared" si="152"/>
        <v>250036</v>
      </c>
      <c r="B8749" s="8" t="str">
        <f>"2561409012407"</f>
        <v>2561409012407</v>
      </c>
      <c r="C8749" s="8" t="s">
        <v>15</v>
      </c>
      <c r="D8749" s="9">
        <v>65.2</v>
      </c>
      <c r="E8749" s="8">
        <v>19</v>
      </c>
    </row>
    <row r="8750" s="3" customFormat="1" ht="18.75" spans="1:5">
      <c r="A8750" s="8" t="str">
        <f t="shared" si="152"/>
        <v>250036</v>
      </c>
      <c r="B8750" s="8" t="str">
        <f>"2561409013817"</f>
        <v>2561409013817</v>
      </c>
      <c r="C8750" s="8" t="s">
        <v>15</v>
      </c>
      <c r="D8750" s="9">
        <v>65.14</v>
      </c>
      <c r="E8750" s="8">
        <v>20</v>
      </c>
    </row>
    <row r="8751" s="3" customFormat="1" ht="18.75" spans="1:5">
      <c r="A8751" s="8" t="str">
        <f t="shared" si="152"/>
        <v>250036</v>
      </c>
      <c r="B8751" s="8" t="str">
        <f>"2561409013628"</f>
        <v>2561409013628</v>
      </c>
      <c r="C8751" s="8" t="s">
        <v>15</v>
      </c>
      <c r="D8751" s="9">
        <v>64.77</v>
      </c>
      <c r="E8751" s="8">
        <v>21</v>
      </c>
    </row>
    <row r="8752" s="3" customFormat="1" ht="18.75" spans="1:5">
      <c r="A8752" s="8" t="str">
        <f t="shared" si="152"/>
        <v>250036</v>
      </c>
      <c r="B8752" s="8" t="str">
        <f>"2561409013029"</f>
        <v>2561409013029</v>
      </c>
      <c r="C8752" s="8" t="s">
        <v>15</v>
      </c>
      <c r="D8752" s="9">
        <v>64.75</v>
      </c>
      <c r="E8752" s="8">
        <v>22</v>
      </c>
    </row>
    <row r="8753" s="3" customFormat="1" ht="18.75" spans="1:5">
      <c r="A8753" s="8" t="str">
        <f t="shared" si="152"/>
        <v>250036</v>
      </c>
      <c r="B8753" s="8" t="str">
        <f>"2561409011828"</f>
        <v>2561409011828</v>
      </c>
      <c r="C8753" s="8" t="s">
        <v>15</v>
      </c>
      <c r="D8753" s="9">
        <v>64.7</v>
      </c>
      <c r="E8753" s="8">
        <v>23</v>
      </c>
    </row>
    <row r="8754" s="3" customFormat="1" ht="18.75" spans="1:5">
      <c r="A8754" s="8" t="str">
        <f t="shared" si="152"/>
        <v>250036</v>
      </c>
      <c r="B8754" s="8" t="str">
        <f>"2561409013226"</f>
        <v>2561409013226</v>
      </c>
      <c r="C8754" s="8" t="s">
        <v>15</v>
      </c>
      <c r="D8754" s="9">
        <v>64.65</v>
      </c>
      <c r="E8754" s="8">
        <v>24</v>
      </c>
    </row>
    <row r="8755" s="3" customFormat="1" ht="18.75" spans="1:5">
      <c r="A8755" s="8" t="str">
        <f t="shared" si="152"/>
        <v>250036</v>
      </c>
      <c r="B8755" s="8" t="str">
        <f>"2561409013613"</f>
        <v>2561409013613</v>
      </c>
      <c r="C8755" s="8" t="s">
        <v>15</v>
      </c>
      <c r="D8755" s="9">
        <v>64.62</v>
      </c>
      <c r="E8755" s="8">
        <v>25</v>
      </c>
    </row>
    <row r="8756" s="3" customFormat="1" ht="18.75" spans="1:5">
      <c r="A8756" s="8" t="str">
        <f t="shared" si="152"/>
        <v>250036</v>
      </c>
      <c r="B8756" s="8" t="str">
        <f>"2561409013717"</f>
        <v>2561409013717</v>
      </c>
      <c r="C8756" s="8" t="s">
        <v>15</v>
      </c>
      <c r="D8756" s="9">
        <v>64.48</v>
      </c>
      <c r="E8756" s="8">
        <v>26</v>
      </c>
    </row>
    <row r="8757" s="3" customFormat="1" ht="18.75" spans="1:5">
      <c r="A8757" s="8" t="str">
        <f t="shared" si="152"/>
        <v>250036</v>
      </c>
      <c r="B8757" s="8" t="str">
        <f>"2561409013401"</f>
        <v>2561409013401</v>
      </c>
      <c r="C8757" s="8" t="s">
        <v>15</v>
      </c>
      <c r="D8757" s="9">
        <v>64.47</v>
      </c>
      <c r="E8757" s="8">
        <v>27</v>
      </c>
    </row>
    <row r="8758" s="3" customFormat="1" ht="18.75" spans="1:5">
      <c r="A8758" s="8" t="str">
        <f t="shared" si="152"/>
        <v>250036</v>
      </c>
      <c r="B8758" s="8" t="str">
        <f>"2561409012514"</f>
        <v>2561409012514</v>
      </c>
      <c r="C8758" s="8" t="s">
        <v>15</v>
      </c>
      <c r="D8758" s="9">
        <v>64.43</v>
      </c>
      <c r="E8758" s="8">
        <v>28</v>
      </c>
    </row>
    <row r="8759" s="3" customFormat="1" ht="18.75" spans="1:5">
      <c r="A8759" s="8" t="str">
        <f t="shared" si="152"/>
        <v>250036</v>
      </c>
      <c r="B8759" s="8" t="str">
        <f>"2561409013814"</f>
        <v>2561409013814</v>
      </c>
      <c r="C8759" s="8" t="s">
        <v>15</v>
      </c>
      <c r="D8759" s="9">
        <v>64.28</v>
      </c>
      <c r="E8759" s="8">
        <v>29</v>
      </c>
    </row>
    <row r="8760" s="3" customFormat="1" ht="18.75" spans="1:5">
      <c r="A8760" s="8" t="str">
        <f t="shared" si="152"/>
        <v>250036</v>
      </c>
      <c r="B8760" s="8" t="str">
        <f>"2561409012806"</f>
        <v>2561409012806</v>
      </c>
      <c r="C8760" s="8" t="s">
        <v>15</v>
      </c>
      <c r="D8760" s="9">
        <v>64.11</v>
      </c>
      <c r="E8760" s="8">
        <v>30</v>
      </c>
    </row>
    <row r="8761" s="3" customFormat="1" ht="18.75" spans="1:5">
      <c r="A8761" s="8" t="str">
        <f t="shared" si="152"/>
        <v>250036</v>
      </c>
      <c r="B8761" s="8" t="str">
        <f>"2561409013307"</f>
        <v>2561409013307</v>
      </c>
      <c r="C8761" s="8" t="s">
        <v>15</v>
      </c>
      <c r="D8761" s="9">
        <v>64.07</v>
      </c>
      <c r="E8761" s="8">
        <v>31</v>
      </c>
    </row>
    <row r="8762" s="3" customFormat="1" ht="18.75" spans="1:5">
      <c r="A8762" s="8" t="str">
        <f t="shared" si="152"/>
        <v>250036</v>
      </c>
      <c r="B8762" s="8" t="str">
        <f>"2561409011920"</f>
        <v>2561409011920</v>
      </c>
      <c r="C8762" s="8" t="s">
        <v>15</v>
      </c>
      <c r="D8762" s="9">
        <v>64.05</v>
      </c>
      <c r="E8762" s="8">
        <v>32</v>
      </c>
    </row>
    <row r="8763" s="3" customFormat="1" ht="18.75" spans="1:5">
      <c r="A8763" s="8" t="str">
        <f t="shared" si="152"/>
        <v>250036</v>
      </c>
      <c r="B8763" s="8" t="str">
        <f>"2561409013819"</f>
        <v>2561409013819</v>
      </c>
      <c r="C8763" s="8" t="s">
        <v>15</v>
      </c>
      <c r="D8763" s="9">
        <v>64.04</v>
      </c>
      <c r="E8763" s="8">
        <v>33</v>
      </c>
    </row>
    <row r="8764" s="3" customFormat="1" ht="18.75" spans="1:5">
      <c r="A8764" s="8" t="str">
        <f t="shared" si="152"/>
        <v>250036</v>
      </c>
      <c r="B8764" s="8" t="str">
        <f>"2561409012818"</f>
        <v>2561409012818</v>
      </c>
      <c r="C8764" s="8" t="s">
        <v>15</v>
      </c>
      <c r="D8764" s="9">
        <v>64.03</v>
      </c>
      <c r="E8764" s="8">
        <v>34</v>
      </c>
    </row>
    <row r="8765" s="3" customFormat="1" ht="18.75" spans="1:5">
      <c r="A8765" s="8" t="str">
        <f t="shared" si="152"/>
        <v>250036</v>
      </c>
      <c r="B8765" s="8" t="str">
        <f>"2561409012914"</f>
        <v>2561409012914</v>
      </c>
      <c r="C8765" s="8" t="s">
        <v>15</v>
      </c>
      <c r="D8765" s="9">
        <v>64.03</v>
      </c>
      <c r="E8765" s="8">
        <v>34</v>
      </c>
    </row>
    <row r="8766" s="3" customFormat="1" ht="18.75" spans="1:5">
      <c r="A8766" s="8" t="str">
        <f t="shared" si="152"/>
        <v>250036</v>
      </c>
      <c r="B8766" s="8" t="str">
        <f>"2561409013803"</f>
        <v>2561409013803</v>
      </c>
      <c r="C8766" s="8" t="s">
        <v>15</v>
      </c>
      <c r="D8766" s="9">
        <v>63.95</v>
      </c>
      <c r="E8766" s="8">
        <v>36</v>
      </c>
    </row>
    <row r="8767" s="3" customFormat="1" ht="18.75" spans="1:5">
      <c r="A8767" s="8" t="str">
        <f t="shared" si="152"/>
        <v>250036</v>
      </c>
      <c r="B8767" s="8" t="str">
        <f>"2561409011930"</f>
        <v>2561409011930</v>
      </c>
      <c r="C8767" s="8" t="s">
        <v>15</v>
      </c>
      <c r="D8767" s="9">
        <v>63.54</v>
      </c>
      <c r="E8767" s="8">
        <v>37</v>
      </c>
    </row>
    <row r="8768" s="3" customFormat="1" ht="18.75" spans="1:5">
      <c r="A8768" s="8" t="str">
        <f t="shared" si="152"/>
        <v>250036</v>
      </c>
      <c r="B8768" s="8" t="str">
        <f>"2561409012730"</f>
        <v>2561409012730</v>
      </c>
      <c r="C8768" s="8" t="s">
        <v>15</v>
      </c>
      <c r="D8768" s="9">
        <v>63.5</v>
      </c>
      <c r="E8768" s="8">
        <v>38</v>
      </c>
    </row>
    <row r="8769" s="3" customFormat="1" ht="18.75" spans="1:5">
      <c r="A8769" s="8" t="str">
        <f t="shared" si="152"/>
        <v>250036</v>
      </c>
      <c r="B8769" s="8" t="str">
        <f>"2561409011729"</f>
        <v>2561409011729</v>
      </c>
      <c r="C8769" s="8" t="s">
        <v>15</v>
      </c>
      <c r="D8769" s="9">
        <v>63.14</v>
      </c>
      <c r="E8769" s="8">
        <v>39</v>
      </c>
    </row>
    <row r="8770" s="3" customFormat="1" ht="18.75" spans="1:5">
      <c r="A8770" s="8" t="str">
        <f t="shared" si="152"/>
        <v>250036</v>
      </c>
      <c r="B8770" s="8" t="str">
        <f>"2561409013011"</f>
        <v>2561409013011</v>
      </c>
      <c r="C8770" s="8" t="s">
        <v>15</v>
      </c>
      <c r="D8770" s="9">
        <v>62.95</v>
      </c>
      <c r="E8770" s="8">
        <v>40</v>
      </c>
    </row>
    <row r="8771" s="3" customFormat="1" ht="18.75" spans="1:5">
      <c r="A8771" s="8" t="str">
        <f t="shared" si="152"/>
        <v>250036</v>
      </c>
      <c r="B8771" s="8" t="str">
        <f>"2561409013104"</f>
        <v>2561409013104</v>
      </c>
      <c r="C8771" s="8" t="s">
        <v>15</v>
      </c>
      <c r="D8771" s="9">
        <v>62.93</v>
      </c>
      <c r="E8771" s="8">
        <v>41</v>
      </c>
    </row>
    <row r="8772" s="3" customFormat="1" ht="18.75" spans="1:5">
      <c r="A8772" s="8" t="str">
        <f t="shared" si="152"/>
        <v>250036</v>
      </c>
      <c r="B8772" s="8" t="str">
        <f>"2561409013630"</f>
        <v>2561409013630</v>
      </c>
      <c r="C8772" s="8" t="s">
        <v>15</v>
      </c>
      <c r="D8772" s="9">
        <v>62.75</v>
      </c>
      <c r="E8772" s="8">
        <v>42</v>
      </c>
    </row>
    <row r="8773" s="3" customFormat="1" ht="18.75" spans="1:5">
      <c r="A8773" s="8" t="str">
        <f t="shared" si="152"/>
        <v>250036</v>
      </c>
      <c r="B8773" s="8" t="str">
        <f>"2561409012127"</f>
        <v>2561409012127</v>
      </c>
      <c r="C8773" s="8" t="s">
        <v>15</v>
      </c>
      <c r="D8773" s="9">
        <v>62.71</v>
      </c>
      <c r="E8773" s="8">
        <v>43</v>
      </c>
    </row>
    <row r="8774" s="3" customFormat="1" ht="18.75" spans="1:5">
      <c r="A8774" s="8" t="str">
        <f t="shared" si="152"/>
        <v>250036</v>
      </c>
      <c r="B8774" s="8" t="str">
        <f>"2561409012121"</f>
        <v>2561409012121</v>
      </c>
      <c r="C8774" s="8" t="s">
        <v>15</v>
      </c>
      <c r="D8774" s="9">
        <v>62.69</v>
      </c>
      <c r="E8774" s="8">
        <v>44</v>
      </c>
    </row>
    <row r="8775" s="3" customFormat="1" ht="18.75" spans="1:5">
      <c r="A8775" s="8" t="str">
        <f t="shared" si="152"/>
        <v>250036</v>
      </c>
      <c r="B8775" s="8" t="str">
        <f>"2561409012513"</f>
        <v>2561409012513</v>
      </c>
      <c r="C8775" s="8" t="s">
        <v>15</v>
      </c>
      <c r="D8775" s="9">
        <v>62.66</v>
      </c>
      <c r="E8775" s="8">
        <v>45</v>
      </c>
    </row>
    <row r="8776" s="3" customFormat="1" ht="18.75" spans="1:5">
      <c r="A8776" s="8" t="str">
        <f t="shared" si="152"/>
        <v>250036</v>
      </c>
      <c r="B8776" s="8" t="str">
        <f>"2561409013107"</f>
        <v>2561409013107</v>
      </c>
      <c r="C8776" s="8" t="s">
        <v>15</v>
      </c>
      <c r="D8776" s="9">
        <v>62.65</v>
      </c>
      <c r="E8776" s="8">
        <v>46</v>
      </c>
    </row>
    <row r="8777" s="3" customFormat="1" ht="18.75" spans="1:5">
      <c r="A8777" s="8" t="str">
        <f t="shared" si="152"/>
        <v>250036</v>
      </c>
      <c r="B8777" s="8" t="str">
        <f>"2561409012425"</f>
        <v>2561409012425</v>
      </c>
      <c r="C8777" s="8" t="s">
        <v>15</v>
      </c>
      <c r="D8777" s="9">
        <v>62.6</v>
      </c>
      <c r="E8777" s="8">
        <v>47</v>
      </c>
    </row>
    <row r="8778" s="3" customFormat="1" ht="18.75" spans="1:5">
      <c r="A8778" s="8" t="str">
        <f t="shared" si="152"/>
        <v>250036</v>
      </c>
      <c r="B8778" s="8" t="str">
        <f>"2561409012115"</f>
        <v>2561409012115</v>
      </c>
      <c r="C8778" s="8" t="s">
        <v>15</v>
      </c>
      <c r="D8778" s="9">
        <v>62.59</v>
      </c>
      <c r="E8778" s="8">
        <v>48</v>
      </c>
    </row>
    <row r="8779" s="3" customFormat="1" ht="18.75" spans="1:5">
      <c r="A8779" s="8" t="str">
        <f t="shared" si="152"/>
        <v>250036</v>
      </c>
      <c r="B8779" s="8" t="str">
        <f>"2561409013417"</f>
        <v>2561409013417</v>
      </c>
      <c r="C8779" s="8" t="s">
        <v>15</v>
      </c>
      <c r="D8779" s="9">
        <v>62.52</v>
      </c>
      <c r="E8779" s="8">
        <v>49</v>
      </c>
    </row>
    <row r="8780" s="3" customFormat="1" ht="18.75" spans="1:5">
      <c r="A8780" s="8" t="str">
        <f t="shared" si="152"/>
        <v>250036</v>
      </c>
      <c r="B8780" s="8" t="str">
        <f>"2561409012922"</f>
        <v>2561409012922</v>
      </c>
      <c r="C8780" s="8" t="s">
        <v>15</v>
      </c>
      <c r="D8780" s="9">
        <v>62.42</v>
      </c>
      <c r="E8780" s="8">
        <v>50</v>
      </c>
    </row>
    <row r="8781" s="3" customFormat="1" ht="18.75" spans="1:5">
      <c r="A8781" s="8" t="str">
        <f t="shared" si="152"/>
        <v>250036</v>
      </c>
      <c r="B8781" s="8" t="str">
        <f>"2561409012330"</f>
        <v>2561409012330</v>
      </c>
      <c r="C8781" s="8" t="s">
        <v>15</v>
      </c>
      <c r="D8781" s="9">
        <v>62.38</v>
      </c>
      <c r="E8781" s="8">
        <v>51</v>
      </c>
    </row>
    <row r="8782" s="3" customFormat="1" ht="18.75" spans="1:5">
      <c r="A8782" s="8" t="str">
        <f t="shared" si="152"/>
        <v>250036</v>
      </c>
      <c r="B8782" s="8" t="str">
        <f>"2561409011725"</f>
        <v>2561409011725</v>
      </c>
      <c r="C8782" s="8" t="s">
        <v>15</v>
      </c>
      <c r="D8782" s="9">
        <v>62.3</v>
      </c>
      <c r="E8782" s="8">
        <v>52</v>
      </c>
    </row>
    <row r="8783" s="3" customFormat="1" ht="18.75" spans="1:5">
      <c r="A8783" s="8" t="str">
        <f t="shared" si="152"/>
        <v>250036</v>
      </c>
      <c r="B8783" s="8" t="str">
        <f>"2561409013122"</f>
        <v>2561409013122</v>
      </c>
      <c r="C8783" s="8" t="s">
        <v>15</v>
      </c>
      <c r="D8783" s="9">
        <v>62.29</v>
      </c>
      <c r="E8783" s="8">
        <v>53</v>
      </c>
    </row>
    <row r="8784" s="3" customFormat="1" ht="18.75" spans="1:5">
      <c r="A8784" s="8" t="str">
        <f t="shared" si="152"/>
        <v>250036</v>
      </c>
      <c r="B8784" s="8" t="str">
        <f>"2561409012722"</f>
        <v>2561409012722</v>
      </c>
      <c r="C8784" s="8" t="s">
        <v>15</v>
      </c>
      <c r="D8784" s="9">
        <v>62.28</v>
      </c>
      <c r="E8784" s="8">
        <v>54</v>
      </c>
    </row>
    <row r="8785" s="3" customFormat="1" ht="18.75" spans="1:5">
      <c r="A8785" s="8" t="str">
        <f t="shared" si="152"/>
        <v>250036</v>
      </c>
      <c r="B8785" s="8" t="str">
        <f>"2561409012611"</f>
        <v>2561409012611</v>
      </c>
      <c r="C8785" s="8" t="s">
        <v>15</v>
      </c>
      <c r="D8785" s="9">
        <v>62.27</v>
      </c>
      <c r="E8785" s="8">
        <v>55</v>
      </c>
    </row>
    <row r="8786" s="3" customFormat="1" ht="18.75" spans="1:5">
      <c r="A8786" s="8" t="str">
        <f t="shared" si="152"/>
        <v>250036</v>
      </c>
      <c r="B8786" s="8" t="str">
        <f>"2561409013212"</f>
        <v>2561409013212</v>
      </c>
      <c r="C8786" s="8" t="s">
        <v>15</v>
      </c>
      <c r="D8786" s="9">
        <v>62.12</v>
      </c>
      <c r="E8786" s="8">
        <v>56</v>
      </c>
    </row>
    <row r="8787" s="3" customFormat="1" ht="18.75" spans="1:5">
      <c r="A8787" s="8" t="str">
        <f t="shared" si="152"/>
        <v>250036</v>
      </c>
      <c r="B8787" s="8" t="str">
        <f>"2561409012015"</f>
        <v>2561409012015</v>
      </c>
      <c r="C8787" s="8" t="s">
        <v>15</v>
      </c>
      <c r="D8787" s="9">
        <v>62.06</v>
      </c>
      <c r="E8787" s="8">
        <v>57</v>
      </c>
    </row>
    <row r="8788" s="3" customFormat="1" ht="18.75" spans="1:5">
      <c r="A8788" s="8" t="str">
        <f t="shared" si="152"/>
        <v>250036</v>
      </c>
      <c r="B8788" s="8" t="str">
        <f>"2561409012920"</f>
        <v>2561409012920</v>
      </c>
      <c r="C8788" s="8" t="s">
        <v>15</v>
      </c>
      <c r="D8788" s="9">
        <v>62.04</v>
      </c>
      <c r="E8788" s="8">
        <v>58</v>
      </c>
    </row>
    <row r="8789" s="3" customFormat="1" ht="18.75" spans="1:5">
      <c r="A8789" s="8" t="str">
        <f t="shared" si="152"/>
        <v>250036</v>
      </c>
      <c r="B8789" s="8" t="str">
        <f>"2561409011827"</f>
        <v>2561409011827</v>
      </c>
      <c r="C8789" s="8" t="s">
        <v>15</v>
      </c>
      <c r="D8789" s="9">
        <v>61.8</v>
      </c>
      <c r="E8789" s="8">
        <v>59</v>
      </c>
    </row>
    <row r="8790" s="3" customFormat="1" ht="18.75" spans="1:5">
      <c r="A8790" s="8" t="str">
        <f t="shared" si="152"/>
        <v>250036</v>
      </c>
      <c r="B8790" s="8" t="str">
        <f>"2561409011908"</f>
        <v>2561409011908</v>
      </c>
      <c r="C8790" s="8" t="s">
        <v>15</v>
      </c>
      <c r="D8790" s="9">
        <v>61.79</v>
      </c>
      <c r="E8790" s="8">
        <v>60</v>
      </c>
    </row>
    <row r="8791" s="3" customFormat="1" ht="18.75" spans="1:5">
      <c r="A8791" s="8" t="str">
        <f t="shared" si="152"/>
        <v>250036</v>
      </c>
      <c r="B8791" s="8" t="str">
        <f>"2561409013615"</f>
        <v>2561409013615</v>
      </c>
      <c r="C8791" s="8" t="s">
        <v>15</v>
      </c>
      <c r="D8791" s="9">
        <v>61.72</v>
      </c>
      <c r="E8791" s="8">
        <v>61</v>
      </c>
    </row>
    <row r="8792" s="3" customFormat="1" ht="18.75" spans="1:5">
      <c r="A8792" s="8" t="str">
        <f t="shared" si="152"/>
        <v>250036</v>
      </c>
      <c r="B8792" s="8" t="str">
        <f>"2561409013529"</f>
        <v>2561409013529</v>
      </c>
      <c r="C8792" s="8" t="s">
        <v>15</v>
      </c>
      <c r="D8792" s="9">
        <v>61.66</v>
      </c>
      <c r="E8792" s="8">
        <v>62</v>
      </c>
    </row>
    <row r="8793" s="3" customFormat="1" ht="18.75" spans="1:5">
      <c r="A8793" s="8" t="str">
        <f t="shared" si="152"/>
        <v>250036</v>
      </c>
      <c r="B8793" s="8" t="str">
        <f>"2561409013718"</f>
        <v>2561409013718</v>
      </c>
      <c r="C8793" s="8" t="s">
        <v>15</v>
      </c>
      <c r="D8793" s="9">
        <v>61.55</v>
      </c>
      <c r="E8793" s="8">
        <v>63</v>
      </c>
    </row>
    <row r="8794" s="3" customFormat="1" ht="18.75" spans="1:5">
      <c r="A8794" s="8" t="str">
        <f t="shared" si="152"/>
        <v>250036</v>
      </c>
      <c r="B8794" s="8" t="str">
        <f>"2561409013719"</f>
        <v>2561409013719</v>
      </c>
      <c r="C8794" s="8" t="s">
        <v>15</v>
      </c>
      <c r="D8794" s="9">
        <v>61.52</v>
      </c>
      <c r="E8794" s="8">
        <v>64</v>
      </c>
    </row>
    <row r="8795" s="3" customFormat="1" ht="18.75" spans="1:5">
      <c r="A8795" s="8" t="str">
        <f t="shared" ref="A8795:A8858" si="153">"250036"</f>
        <v>250036</v>
      </c>
      <c r="B8795" s="8" t="str">
        <f>"2561409012329"</f>
        <v>2561409012329</v>
      </c>
      <c r="C8795" s="8" t="s">
        <v>15</v>
      </c>
      <c r="D8795" s="9">
        <v>61.51</v>
      </c>
      <c r="E8795" s="8">
        <v>65</v>
      </c>
    </row>
    <row r="8796" s="3" customFormat="1" ht="18.75" spans="1:5">
      <c r="A8796" s="8" t="str">
        <f t="shared" si="153"/>
        <v>250036</v>
      </c>
      <c r="B8796" s="8" t="str">
        <f>"2561409012029"</f>
        <v>2561409012029</v>
      </c>
      <c r="C8796" s="8" t="s">
        <v>15</v>
      </c>
      <c r="D8796" s="9">
        <v>61.23</v>
      </c>
      <c r="E8796" s="8">
        <v>66</v>
      </c>
    </row>
    <row r="8797" s="3" customFormat="1" ht="18.75" spans="1:5">
      <c r="A8797" s="8" t="str">
        <f t="shared" si="153"/>
        <v>250036</v>
      </c>
      <c r="B8797" s="8" t="str">
        <f>"2561409013906"</f>
        <v>2561409013906</v>
      </c>
      <c r="C8797" s="8" t="s">
        <v>15</v>
      </c>
      <c r="D8797" s="9">
        <v>61.2</v>
      </c>
      <c r="E8797" s="8">
        <v>67</v>
      </c>
    </row>
    <row r="8798" s="3" customFormat="1" ht="18.75" spans="1:5">
      <c r="A8798" s="8" t="str">
        <f t="shared" si="153"/>
        <v>250036</v>
      </c>
      <c r="B8798" s="8" t="str">
        <f>"2561409012424"</f>
        <v>2561409012424</v>
      </c>
      <c r="C8798" s="8" t="s">
        <v>15</v>
      </c>
      <c r="D8798" s="9">
        <v>61.19</v>
      </c>
      <c r="E8798" s="8">
        <v>68</v>
      </c>
    </row>
    <row r="8799" s="3" customFormat="1" ht="18.75" spans="1:5">
      <c r="A8799" s="8" t="str">
        <f t="shared" si="153"/>
        <v>250036</v>
      </c>
      <c r="B8799" s="8" t="str">
        <f>"2561409013503"</f>
        <v>2561409013503</v>
      </c>
      <c r="C8799" s="8" t="s">
        <v>15</v>
      </c>
      <c r="D8799" s="9">
        <v>61.16</v>
      </c>
      <c r="E8799" s="8">
        <v>69</v>
      </c>
    </row>
    <row r="8800" s="3" customFormat="1" ht="18.75" spans="1:5">
      <c r="A8800" s="8" t="str">
        <f t="shared" si="153"/>
        <v>250036</v>
      </c>
      <c r="B8800" s="8" t="str">
        <f>"2561409013019"</f>
        <v>2561409013019</v>
      </c>
      <c r="C8800" s="8" t="s">
        <v>15</v>
      </c>
      <c r="D8800" s="9">
        <v>61.1</v>
      </c>
      <c r="E8800" s="8">
        <v>70</v>
      </c>
    </row>
    <row r="8801" s="3" customFormat="1" ht="18.75" spans="1:5">
      <c r="A8801" s="8" t="str">
        <f t="shared" si="153"/>
        <v>250036</v>
      </c>
      <c r="B8801" s="8" t="str">
        <f>"2561409013826"</f>
        <v>2561409013826</v>
      </c>
      <c r="C8801" s="8" t="s">
        <v>15</v>
      </c>
      <c r="D8801" s="9">
        <v>61.09</v>
      </c>
      <c r="E8801" s="8">
        <v>71</v>
      </c>
    </row>
    <row r="8802" s="3" customFormat="1" ht="18.75" spans="1:5">
      <c r="A8802" s="8" t="str">
        <f t="shared" si="153"/>
        <v>250036</v>
      </c>
      <c r="B8802" s="8" t="str">
        <f>"2561409013227"</f>
        <v>2561409013227</v>
      </c>
      <c r="C8802" s="8" t="s">
        <v>15</v>
      </c>
      <c r="D8802" s="9">
        <v>60.95</v>
      </c>
      <c r="E8802" s="8">
        <v>72</v>
      </c>
    </row>
    <row r="8803" s="3" customFormat="1" ht="18.75" spans="1:5">
      <c r="A8803" s="8" t="str">
        <f t="shared" si="153"/>
        <v>250036</v>
      </c>
      <c r="B8803" s="8" t="str">
        <f>"2561409012916"</f>
        <v>2561409012916</v>
      </c>
      <c r="C8803" s="8" t="s">
        <v>15</v>
      </c>
      <c r="D8803" s="9">
        <v>60.92</v>
      </c>
      <c r="E8803" s="8">
        <v>73</v>
      </c>
    </row>
    <row r="8804" s="3" customFormat="1" ht="18.75" spans="1:5">
      <c r="A8804" s="8" t="str">
        <f t="shared" si="153"/>
        <v>250036</v>
      </c>
      <c r="B8804" s="8" t="str">
        <f>"2561409013428"</f>
        <v>2561409013428</v>
      </c>
      <c r="C8804" s="8" t="s">
        <v>15</v>
      </c>
      <c r="D8804" s="9">
        <v>60.87</v>
      </c>
      <c r="E8804" s="8">
        <v>74</v>
      </c>
    </row>
    <row r="8805" s="3" customFormat="1" ht="18.75" spans="1:5">
      <c r="A8805" s="8" t="str">
        <f t="shared" si="153"/>
        <v>250036</v>
      </c>
      <c r="B8805" s="8" t="str">
        <f>"2561409012027"</f>
        <v>2561409012027</v>
      </c>
      <c r="C8805" s="8" t="s">
        <v>15</v>
      </c>
      <c r="D8805" s="9">
        <v>60.66</v>
      </c>
      <c r="E8805" s="8">
        <v>75</v>
      </c>
    </row>
    <row r="8806" s="3" customFormat="1" ht="18.75" spans="1:5">
      <c r="A8806" s="8" t="str">
        <f t="shared" si="153"/>
        <v>250036</v>
      </c>
      <c r="B8806" s="8" t="str">
        <f>"2561409013726"</f>
        <v>2561409013726</v>
      </c>
      <c r="C8806" s="8" t="s">
        <v>15</v>
      </c>
      <c r="D8806" s="9">
        <v>60.51</v>
      </c>
      <c r="E8806" s="8">
        <v>76</v>
      </c>
    </row>
    <row r="8807" s="3" customFormat="1" ht="18.75" spans="1:5">
      <c r="A8807" s="8" t="str">
        <f t="shared" si="153"/>
        <v>250036</v>
      </c>
      <c r="B8807" s="8" t="str">
        <f>"2561409013201"</f>
        <v>2561409013201</v>
      </c>
      <c r="C8807" s="8" t="s">
        <v>15</v>
      </c>
      <c r="D8807" s="9">
        <v>60.5</v>
      </c>
      <c r="E8807" s="8">
        <v>77</v>
      </c>
    </row>
    <row r="8808" s="3" customFormat="1" ht="18.75" spans="1:5">
      <c r="A8808" s="8" t="str">
        <f t="shared" si="153"/>
        <v>250036</v>
      </c>
      <c r="B8808" s="8" t="str">
        <f>"2561409012708"</f>
        <v>2561409012708</v>
      </c>
      <c r="C8808" s="8" t="s">
        <v>15</v>
      </c>
      <c r="D8808" s="9">
        <v>60.45</v>
      </c>
      <c r="E8808" s="8">
        <v>78</v>
      </c>
    </row>
    <row r="8809" s="3" customFormat="1" ht="18.75" spans="1:5">
      <c r="A8809" s="8" t="str">
        <f t="shared" si="153"/>
        <v>250036</v>
      </c>
      <c r="B8809" s="8" t="str">
        <f>"2561409013121"</f>
        <v>2561409013121</v>
      </c>
      <c r="C8809" s="8" t="s">
        <v>15</v>
      </c>
      <c r="D8809" s="9">
        <v>60.39</v>
      </c>
      <c r="E8809" s="8">
        <v>79</v>
      </c>
    </row>
    <row r="8810" s="3" customFormat="1" ht="18.75" spans="1:5">
      <c r="A8810" s="8" t="str">
        <f t="shared" si="153"/>
        <v>250036</v>
      </c>
      <c r="B8810" s="8" t="str">
        <f>"2561409013127"</f>
        <v>2561409013127</v>
      </c>
      <c r="C8810" s="8" t="s">
        <v>15</v>
      </c>
      <c r="D8810" s="9">
        <v>60.34</v>
      </c>
      <c r="E8810" s="8">
        <v>80</v>
      </c>
    </row>
    <row r="8811" s="3" customFormat="1" ht="18.75" spans="1:5">
      <c r="A8811" s="8" t="str">
        <f t="shared" si="153"/>
        <v>250036</v>
      </c>
      <c r="B8811" s="8" t="str">
        <f>"2561409012012"</f>
        <v>2561409012012</v>
      </c>
      <c r="C8811" s="8" t="s">
        <v>15</v>
      </c>
      <c r="D8811" s="9">
        <v>60.32</v>
      </c>
      <c r="E8811" s="8">
        <v>81</v>
      </c>
    </row>
    <row r="8812" s="3" customFormat="1" ht="18.75" spans="1:5">
      <c r="A8812" s="8" t="str">
        <f t="shared" si="153"/>
        <v>250036</v>
      </c>
      <c r="B8812" s="8" t="str">
        <f>"2561409012801"</f>
        <v>2561409012801</v>
      </c>
      <c r="C8812" s="8" t="s">
        <v>15</v>
      </c>
      <c r="D8812" s="9">
        <v>60.31</v>
      </c>
      <c r="E8812" s="8">
        <v>82</v>
      </c>
    </row>
    <row r="8813" s="3" customFormat="1" ht="18.75" spans="1:5">
      <c r="A8813" s="8" t="str">
        <f t="shared" si="153"/>
        <v>250036</v>
      </c>
      <c r="B8813" s="8" t="str">
        <f>"2561409013323"</f>
        <v>2561409013323</v>
      </c>
      <c r="C8813" s="8" t="s">
        <v>15</v>
      </c>
      <c r="D8813" s="9">
        <v>60.3</v>
      </c>
      <c r="E8813" s="8">
        <v>83</v>
      </c>
    </row>
    <row r="8814" s="3" customFormat="1" ht="18.75" spans="1:5">
      <c r="A8814" s="8" t="str">
        <f t="shared" si="153"/>
        <v>250036</v>
      </c>
      <c r="B8814" s="8" t="str">
        <f>"2561409013621"</f>
        <v>2561409013621</v>
      </c>
      <c r="C8814" s="8" t="s">
        <v>15</v>
      </c>
      <c r="D8814" s="9">
        <v>60.25</v>
      </c>
      <c r="E8814" s="8">
        <v>84</v>
      </c>
    </row>
    <row r="8815" s="3" customFormat="1" ht="18.75" spans="1:5">
      <c r="A8815" s="8" t="str">
        <f t="shared" si="153"/>
        <v>250036</v>
      </c>
      <c r="B8815" s="8" t="str">
        <f>"2561409012022"</f>
        <v>2561409012022</v>
      </c>
      <c r="C8815" s="8" t="s">
        <v>15</v>
      </c>
      <c r="D8815" s="9">
        <v>60.12</v>
      </c>
      <c r="E8815" s="8">
        <v>85</v>
      </c>
    </row>
    <row r="8816" s="3" customFormat="1" ht="18.75" spans="1:5">
      <c r="A8816" s="8" t="str">
        <f t="shared" si="153"/>
        <v>250036</v>
      </c>
      <c r="B8816" s="8" t="str">
        <f>"2561409012224"</f>
        <v>2561409012224</v>
      </c>
      <c r="C8816" s="8" t="s">
        <v>15</v>
      </c>
      <c r="D8816" s="9">
        <v>60.11</v>
      </c>
      <c r="E8816" s="8">
        <v>86</v>
      </c>
    </row>
    <row r="8817" s="3" customFormat="1" ht="18.75" spans="1:5">
      <c r="A8817" s="8" t="str">
        <f t="shared" si="153"/>
        <v>250036</v>
      </c>
      <c r="B8817" s="8" t="str">
        <f>"2561409011806"</f>
        <v>2561409011806</v>
      </c>
      <c r="C8817" s="8" t="s">
        <v>15</v>
      </c>
      <c r="D8817" s="9">
        <v>60.09</v>
      </c>
      <c r="E8817" s="8">
        <v>87</v>
      </c>
    </row>
    <row r="8818" s="3" customFormat="1" ht="18.75" spans="1:5">
      <c r="A8818" s="8" t="str">
        <f t="shared" si="153"/>
        <v>250036</v>
      </c>
      <c r="B8818" s="8" t="str">
        <f>"2561409012908"</f>
        <v>2561409012908</v>
      </c>
      <c r="C8818" s="8" t="s">
        <v>15</v>
      </c>
      <c r="D8818" s="9">
        <v>60.03</v>
      </c>
      <c r="E8818" s="8">
        <v>88</v>
      </c>
    </row>
    <row r="8819" s="3" customFormat="1" ht="18.75" spans="1:5">
      <c r="A8819" s="8" t="str">
        <f t="shared" si="153"/>
        <v>250036</v>
      </c>
      <c r="B8819" s="8" t="str">
        <f>"2561409013228"</f>
        <v>2561409013228</v>
      </c>
      <c r="C8819" s="8" t="s">
        <v>15</v>
      </c>
      <c r="D8819" s="9">
        <v>60</v>
      </c>
      <c r="E8819" s="8">
        <v>89</v>
      </c>
    </row>
    <row r="8820" s="3" customFormat="1" ht="18.75" spans="1:5">
      <c r="A8820" s="8" t="str">
        <f t="shared" si="153"/>
        <v>250036</v>
      </c>
      <c r="B8820" s="8" t="str">
        <f>"2561409013020"</f>
        <v>2561409013020</v>
      </c>
      <c r="C8820" s="8" t="s">
        <v>15</v>
      </c>
      <c r="D8820" s="9">
        <v>59.96</v>
      </c>
      <c r="E8820" s="8">
        <v>90</v>
      </c>
    </row>
    <row r="8821" s="3" customFormat="1" ht="18.75" spans="1:5">
      <c r="A8821" s="8" t="str">
        <f t="shared" si="153"/>
        <v>250036</v>
      </c>
      <c r="B8821" s="8" t="str">
        <f>"2561409013404"</f>
        <v>2561409013404</v>
      </c>
      <c r="C8821" s="8" t="s">
        <v>15</v>
      </c>
      <c r="D8821" s="9">
        <v>59.95</v>
      </c>
      <c r="E8821" s="8">
        <v>91</v>
      </c>
    </row>
    <row r="8822" s="3" customFormat="1" ht="18.75" spans="1:5">
      <c r="A8822" s="8" t="str">
        <f t="shared" si="153"/>
        <v>250036</v>
      </c>
      <c r="B8822" s="8" t="str">
        <f>"2561409012716"</f>
        <v>2561409012716</v>
      </c>
      <c r="C8822" s="8" t="s">
        <v>15</v>
      </c>
      <c r="D8822" s="9">
        <v>59.86</v>
      </c>
      <c r="E8822" s="8">
        <v>92</v>
      </c>
    </row>
    <row r="8823" s="3" customFormat="1" ht="18.75" spans="1:5">
      <c r="A8823" s="8" t="str">
        <f t="shared" si="153"/>
        <v>250036</v>
      </c>
      <c r="B8823" s="8" t="str">
        <f>"2561409013207"</f>
        <v>2561409013207</v>
      </c>
      <c r="C8823" s="8" t="s">
        <v>15</v>
      </c>
      <c r="D8823" s="9">
        <v>59.69</v>
      </c>
      <c r="E8823" s="8">
        <v>93</v>
      </c>
    </row>
    <row r="8824" s="3" customFormat="1" ht="18.75" spans="1:5">
      <c r="A8824" s="8" t="str">
        <f t="shared" si="153"/>
        <v>250036</v>
      </c>
      <c r="B8824" s="8" t="str">
        <f>"2561409012128"</f>
        <v>2561409012128</v>
      </c>
      <c r="C8824" s="8" t="s">
        <v>15</v>
      </c>
      <c r="D8824" s="9">
        <v>59.68</v>
      </c>
      <c r="E8824" s="8">
        <v>94</v>
      </c>
    </row>
    <row r="8825" s="3" customFormat="1" ht="18.75" spans="1:5">
      <c r="A8825" s="8" t="str">
        <f t="shared" si="153"/>
        <v>250036</v>
      </c>
      <c r="B8825" s="8" t="str">
        <f>"2561409013512"</f>
        <v>2561409013512</v>
      </c>
      <c r="C8825" s="8" t="s">
        <v>15</v>
      </c>
      <c r="D8825" s="9">
        <v>59.65</v>
      </c>
      <c r="E8825" s="8">
        <v>95</v>
      </c>
    </row>
    <row r="8826" s="3" customFormat="1" ht="18.75" spans="1:5">
      <c r="A8826" s="8" t="str">
        <f t="shared" si="153"/>
        <v>250036</v>
      </c>
      <c r="B8826" s="8" t="str">
        <f>"2561409011721"</f>
        <v>2561409011721</v>
      </c>
      <c r="C8826" s="8" t="s">
        <v>15</v>
      </c>
      <c r="D8826" s="9">
        <v>59.6</v>
      </c>
      <c r="E8826" s="8">
        <v>96</v>
      </c>
    </row>
    <row r="8827" s="3" customFormat="1" ht="18.75" spans="1:5">
      <c r="A8827" s="8" t="str">
        <f t="shared" si="153"/>
        <v>250036</v>
      </c>
      <c r="B8827" s="8" t="str">
        <f>"2561409013408"</f>
        <v>2561409013408</v>
      </c>
      <c r="C8827" s="8" t="s">
        <v>15</v>
      </c>
      <c r="D8827" s="9">
        <v>59.6</v>
      </c>
      <c r="E8827" s="8">
        <v>96</v>
      </c>
    </row>
    <row r="8828" s="3" customFormat="1" ht="18.75" spans="1:5">
      <c r="A8828" s="8" t="str">
        <f t="shared" si="153"/>
        <v>250036</v>
      </c>
      <c r="B8828" s="8" t="str">
        <f>"2561409013702"</f>
        <v>2561409013702</v>
      </c>
      <c r="C8828" s="8" t="s">
        <v>15</v>
      </c>
      <c r="D8828" s="9">
        <v>59.59</v>
      </c>
      <c r="E8828" s="8">
        <v>98</v>
      </c>
    </row>
    <row r="8829" s="3" customFormat="1" ht="18.75" spans="1:5">
      <c r="A8829" s="8" t="str">
        <f t="shared" si="153"/>
        <v>250036</v>
      </c>
      <c r="B8829" s="8" t="str">
        <f>"2561409012429"</f>
        <v>2561409012429</v>
      </c>
      <c r="C8829" s="8" t="s">
        <v>15</v>
      </c>
      <c r="D8829" s="9">
        <v>59.58</v>
      </c>
      <c r="E8829" s="8">
        <v>99</v>
      </c>
    </row>
    <row r="8830" s="3" customFormat="1" ht="18.75" spans="1:5">
      <c r="A8830" s="8" t="str">
        <f t="shared" si="153"/>
        <v>250036</v>
      </c>
      <c r="B8830" s="8" t="str">
        <f>"2561409012119"</f>
        <v>2561409012119</v>
      </c>
      <c r="C8830" s="8" t="s">
        <v>15</v>
      </c>
      <c r="D8830" s="9">
        <v>59.57</v>
      </c>
      <c r="E8830" s="8">
        <v>100</v>
      </c>
    </row>
    <row r="8831" s="3" customFormat="1" ht="18.75" spans="1:5">
      <c r="A8831" s="8" t="str">
        <f t="shared" si="153"/>
        <v>250036</v>
      </c>
      <c r="B8831" s="8" t="str">
        <f>"2561409013007"</f>
        <v>2561409013007</v>
      </c>
      <c r="C8831" s="8" t="s">
        <v>15</v>
      </c>
      <c r="D8831" s="9">
        <v>59.53</v>
      </c>
      <c r="E8831" s="8">
        <v>101</v>
      </c>
    </row>
    <row r="8832" s="3" customFormat="1" ht="18.75" spans="1:5">
      <c r="A8832" s="8" t="str">
        <f t="shared" si="153"/>
        <v>250036</v>
      </c>
      <c r="B8832" s="8" t="str">
        <f>"2561409011922"</f>
        <v>2561409011922</v>
      </c>
      <c r="C8832" s="8" t="s">
        <v>15</v>
      </c>
      <c r="D8832" s="9">
        <v>59.46</v>
      </c>
      <c r="E8832" s="8">
        <v>102</v>
      </c>
    </row>
    <row r="8833" s="3" customFormat="1" ht="18.75" spans="1:5">
      <c r="A8833" s="8" t="str">
        <f t="shared" si="153"/>
        <v>250036</v>
      </c>
      <c r="B8833" s="8" t="str">
        <f>"2561409012403"</f>
        <v>2561409012403</v>
      </c>
      <c r="C8833" s="8" t="s">
        <v>15</v>
      </c>
      <c r="D8833" s="9">
        <v>59.44</v>
      </c>
      <c r="E8833" s="8">
        <v>103</v>
      </c>
    </row>
    <row r="8834" s="3" customFormat="1" ht="18.75" spans="1:5">
      <c r="A8834" s="8" t="str">
        <f t="shared" si="153"/>
        <v>250036</v>
      </c>
      <c r="B8834" s="8" t="str">
        <f>"2561409013218"</f>
        <v>2561409013218</v>
      </c>
      <c r="C8834" s="8" t="s">
        <v>15</v>
      </c>
      <c r="D8834" s="9">
        <v>59.41</v>
      </c>
      <c r="E8834" s="8">
        <v>104</v>
      </c>
    </row>
    <row r="8835" s="3" customFormat="1" ht="18.75" spans="1:5">
      <c r="A8835" s="8" t="str">
        <f t="shared" si="153"/>
        <v>250036</v>
      </c>
      <c r="B8835" s="8" t="str">
        <f>"2561409012810"</f>
        <v>2561409012810</v>
      </c>
      <c r="C8835" s="8" t="s">
        <v>15</v>
      </c>
      <c r="D8835" s="9">
        <v>59.23</v>
      </c>
      <c r="E8835" s="8">
        <v>105</v>
      </c>
    </row>
    <row r="8836" s="3" customFormat="1" ht="18.75" spans="1:5">
      <c r="A8836" s="8" t="str">
        <f t="shared" si="153"/>
        <v>250036</v>
      </c>
      <c r="B8836" s="8" t="str">
        <f>"2561409011826"</f>
        <v>2561409011826</v>
      </c>
      <c r="C8836" s="8" t="s">
        <v>15</v>
      </c>
      <c r="D8836" s="9">
        <v>59.22</v>
      </c>
      <c r="E8836" s="8">
        <v>106</v>
      </c>
    </row>
    <row r="8837" s="3" customFormat="1" ht="18.75" spans="1:5">
      <c r="A8837" s="8" t="str">
        <f t="shared" si="153"/>
        <v>250036</v>
      </c>
      <c r="B8837" s="8" t="str">
        <f>"2561409013014"</f>
        <v>2561409013014</v>
      </c>
      <c r="C8837" s="8" t="s">
        <v>15</v>
      </c>
      <c r="D8837" s="9">
        <v>59.02</v>
      </c>
      <c r="E8837" s="8">
        <v>107</v>
      </c>
    </row>
    <row r="8838" s="3" customFormat="1" ht="18.75" spans="1:5">
      <c r="A8838" s="8" t="str">
        <f t="shared" si="153"/>
        <v>250036</v>
      </c>
      <c r="B8838" s="8" t="str">
        <f>"2561409012606"</f>
        <v>2561409012606</v>
      </c>
      <c r="C8838" s="8" t="s">
        <v>15</v>
      </c>
      <c r="D8838" s="9">
        <v>58.96</v>
      </c>
      <c r="E8838" s="8">
        <v>108</v>
      </c>
    </row>
    <row r="8839" s="3" customFormat="1" ht="18.75" spans="1:5">
      <c r="A8839" s="8" t="str">
        <f t="shared" si="153"/>
        <v>250036</v>
      </c>
      <c r="B8839" s="8" t="str">
        <f>"2561409012319"</f>
        <v>2561409012319</v>
      </c>
      <c r="C8839" s="8" t="s">
        <v>15</v>
      </c>
      <c r="D8839" s="9">
        <v>58.87</v>
      </c>
      <c r="E8839" s="8">
        <v>109</v>
      </c>
    </row>
    <row r="8840" s="3" customFormat="1" ht="18.75" spans="1:5">
      <c r="A8840" s="8" t="str">
        <f t="shared" si="153"/>
        <v>250036</v>
      </c>
      <c r="B8840" s="8" t="str">
        <f>"2561409013325"</f>
        <v>2561409013325</v>
      </c>
      <c r="C8840" s="8" t="s">
        <v>15</v>
      </c>
      <c r="D8840" s="9">
        <v>58.83</v>
      </c>
      <c r="E8840" s="8">
        <v>110</v>
      </c>
    </row>
    <row r="8841" s="3" customFormat="1" ht="18.75" spans="1:5">
      <c r="A8841" s="8" t="str">
        <f t="shared" si="153"/>
        <v>250036</v>
      </c>
      <c r="B8841" s="8" t="str">
        <f>"2561409013808"</f>
        <v>2561409013808</v>
      </c>
      <c r="C8841" s="8" t="s">
        <v>15</v>
      </c>
      <c r="D8841" s="9">
        <v>58.72</v>
      </c>
      <c r="E8841" s="8">
        <v>111</v>
      </c>
    </row>
    <row r="8842" s="3" customFormat="1" ht="18.75" spans="1:5">
      <c r="A8842" s="8" t="str">
        <f t="shared" si="153"/>
        <v>250036</v>
      </c>
      <c r="B8842" s="8" t="str">
        <f>"2561409013506"</f>
        <v>2561409013506</v>
      </c>
      <c r="C8842" s="8" t="s">
        <v>15</v>
      </c>
      <c r="D8842" s="9">
        <v>58.7</v>
      </c>
      <c r="E8842" s="8">
        <v>112</v>
      </c>
    </row>
    <row r="8843" s="3" customFormat="1" ht="18.75" spans="1:5">
      <c r="A8843" s="8" t="str">
        <f t="shared" si="153"/>
        <v>250036</v>
      </c>
      <c r="B8843" s="8" t="str">
        <f>"2561409013001"</f>
        <v>2561409013001</v>
      </c>
      <c r="C8843" s="8" t="s">
        <v>15</v>
      </c>
      <c r="D8843" s="9">
        <v>58.66</v>
      </c>
      <c r="E8843" s="8">
        <v>113</v>
      </c>
    </row>
    <row r="8844" s="3" customFormat="1" ht="18.75" spans="1:5">
      <c r="A8844" s="8" t="str">
        <f t="shared" si="153"/>
        <v>250036</v>
      </c>
      <c r="B8844" s="8" t="str">
        <f>"2561409013009"</f>
        <v>2561409013009</v>
      </c>
      <c r="C8844" s="8" t="s">
        <v>15</v>
      </c>
      <c r="D8844" s="9">
        <v>58.59</v>
      </c>
      <c r="E8844" s="8">
        <v>114</v>
      </c>
    </row>
    <row r="8845" s="3" customFormat="1" ht="18.75" spans="1:5">
      <c r="A8845" s="8" t="str">
        <f t="shared" si="153"/>
        <v>250036</v>
      </c>
      <c r="B8845" s="8" t="str">
        <f>"2561409013818"</f>
        <v>2561409013818</v>
      </c>
      <c r="C8845" s="8" t="s">
        <v>15</v>
      </c>
      <c r="D8845" s="9">
        <v>58.5</v>
      </c>
      <c r="E8845" s="8">
        <v>115</v>
      </c>
    </row>
    <row r="8846" s="3" customFormat="1" ht="18.75" spans="1:5">
      <c r="A8846" s="8" t="str">
        <f t="shared" si="153"/>
        <v>250036</v>
      </c>
      <c r="B8846" s="8" t="str">
        <f>"2561409013511"</f>
        <v>2561409013511</v>
      </c>
      <c r="C8846" s="8" t="s">
        <v>15</v>
      </c>
      <c r="D8846" s="9">
        <v>58.49</v>
      </c>
      <c r="E8846" s="8">
        <v>116</v>
      </c>
    </row>
    <row r="8847" s="3" customFormat="1" ht="18.75" spans="1:5">
      <c r="A8847" s="8" t="str">
        <f t="shared" si="153"/>
        <v>250036</v>
      </c>
      <c r="B8847" s="8" t="str">
        <f>"2561409012406"</f>
        <v>2561409012406</v>
      </c>
      <c r="C8847" s="8" t="s">
        <v>15</v>
      </c>
      <c r="D8847" s="9">
        <v>58.44</v>
      </c>
      <c r="E8847" s="8">
        <v>117</v>
      </c>
    </row>
    <row r="8848" s="3" customFormat="1" ht="18.75" spans="1:5">
      <c r="A8848" s="8" t="str">
        <f t="shared" si="153"/>
        <v>250036</v>
      </c>
      <c r="B8848" s="8" t="str">
        <f>"2561409012903"</f>
        <v>2561409012903</v>
      </c>
      <c r="C8848" s="8" t="s">
        <v>15</v>
      </c>
      <c r="D8848" s="9">
        <v>58.41</v>
      </c>
      <c r="E8848" s="8">
        <v>118</v>
      </c>
    </row>
    <row r="8849" s="3" customFormat="1" ht="18.75" spans="1:5">
      <c r="A8849" s="8" t="str">
        <f t="shared" si="153"/>
        <v>250036</v>
      </c>
      <c r="B8849" s="8" t="str">
        <f>"2561409012601"</f>
        <v>2561409012601</v>
      </c>
      <c r="C8849" s="8" t="s">
        <v>15</v>
      </c>
      <c r="D8849" s="9">
        <v>58.4</v>
      </c>
      <c r="E8849" s="8">
        <v>119</v>
      </c>
    </row>
    <row r="8850" s="3" customFormat="1" ht="18.75" spans="1:5">
      <c r="A8850" s="8" t="str">
        <f t="shared" si="153"/>
        <v>250036</v>
      </c>
      <c r="B8850" s="8" t="str">
        <f>"2561409011803"</f>
        <v>2561409011803</v>
      </c>
      <c r="C8850" s="8" t="s">
        <v>15</v>
      </c>
      <c r="D8850" s="9">
        <v>58.36</v>
      </c>
      <c r="E8850" s="8">
        <v>120</v>
      </c>
    </row>
    <row r="8851" s="3" customFormat="1" ht="18.75" spans="1:5">
      <c r="A8851" s="8" t="str">
        <f t="shared" si="153"/>
        <v>250036</v>
      </c>
      <c r="B8851" s="8" t="str">
        <f>"2561409012516"</f>
        <v>2561409012516</v>
      </c>
      <c r="C8851" s="8" t="s">
        <v>15</v>
      </c>
      <c r="D8851" s="9">
        <v>58.33</v>
      </c>
      <c r="E8851" s="8">
        <v>121</v>
      </c>
    </row>
    <row r="8852" s="3" customFormat="1" ht="18.75" spans="1:5">
      <c r="A8852" s="8" t="str">
        <f t="shared" si="153"/>
        <v>250036</v>
      </c>
      <c r="B8852" s="8" t="str">
        <f>"2561409012620"</f>
        <v>2561409012620</v>
      </c>
      <c r="C8852" s="8" t="s">
        <v>15</v>
      </c>
      <c r="D8852" s="9">
        <v>58.33</v>
      </c>
      <c r="E8852" s="8">
        <v>121</v>
      </c>
    </row>
    <row r="8853" s="3" customFormat="1" ht="18.75" spans="1:5">
      <c r="A8853" s="8" t="str">
        <f t="shared" si="153"/>
        <v>250036</v>
      </c>
      <c r="B8853" s="8" t="str">
        <f>"2561409012707"</f>
        <v>2561409012707</v>
      </c>
      <c r="C8853" s="8" t="s">
        <v>15</v>
      </c>
      <c r="D8853" s="9">
        <v>58.33</v>
      </c>
      <c r="E8853" s="8">
        <v>121</v>
      </c>
    </row>
    <row r="8854" s="3" customFormat="1" ht="18.75" spans="1:5">
      <c r="A8854" s="8" t="str">
        <f t="shared" si="153"/>
        <v>250036</v>
      </c>
      <c r="B8854" s="8" t="str">
        <f>"2561409011809"</f>
        <v>2561409011809</v>
      </c>
      <c r="C8854" s="8" t="s">
        <v>15</v>
      </c>
      <c r="D8854" s="9">
        <v>58.27</v>
      </c>
      <c r="E8854" s="8">
        <v>124</v>
      </c>
    </row>
    <row r="8855" s="3" customFormat="1" ht="18.75" spans="1:5">
      <c r="A8855" s="8" t="str">
        <f t="shared" si="153"/>
        <v>250036</v>
      </c>
      <c r="B8855" s="8" t="str">
        <f>"2561409013025"</f>
        <v>2561409013025</v>
      </c>
      <c r="C8855" s="8" t="s">
        <v>15</v>
      </c>
      <c r="D8855" s="9">
        <v>58.18</v>
      </c>
      <c r="E8855" s="8">
        <v>125</v>
      </c>
    </row>
    <row r="8856" s="3" customFormat="1" ht="18.75" spans="1:5">
      <c r="A8856" s="8" t="str">
        <f t="shared" si="153"/>
        <v>250036</v>
      </c>
      <c r="B8856" s="8" t="str">
        <f>"2561409012518"</f>
        <v>2561409012518</v>
      </c>
      <c r="C8856" s="8" t="s">
        <v>15</v>
      </c>
      <c r="D8856" s="9">
        <v>58.12</v>
      </c>
      <c r="E8856" s="8">
        <v>126</v>
      </c>
    </row>
    <row r="8857" s="3" customFormat="1" ht="18.75" spans="1:5">
      <c r="A8857" s="8" t="str">
        <f t="shared" si="153"/>
        <v>250036</v>
      </c>
      <c r="B8857" s="8" t="str">
        <f>"2561409013217"</f>
        <v>2561409013217</v>
      </c>
      <c r="C8857" s="8" t="s">
        <v>15</v>
      </c>
      <c r="D8857" s="9">
        <v>58.08</v>
      </c>
      <c r="E8857" s="8">
        <v>127</v>
      </c>
    </row>
    <row r="8858" s="3" customFormat="1" ht="18.75" spans="1:5">
      <c r="A8858" s="8" t="str">
        <f t="shared" si="153"/>
        <v>250036</v>
      </c>
      <c r="B8858" s="8" t="str">
        <f>"2561409012529"</f>
        <v>2561409012529</v>
      </c>
      <c r="C8858" s="8" t="s">
        <v>15</v>
      </c>
      <c r="D8858" s="9">
        <v>58.06</v>
      </c>
      <c r="E8858" s="8">
        <v>128</v>
      </c>
    </row>
    <row r="8859" s="3" customFormat="1" ht="18.75" spans="1:5">
      <c r="A8859" s="8" t="str">
        <f t="shared" ref="A8859:A8922" si="154">"250036"</f>
        <v>250036</v>
      </c>
      <c r="B8859" s="8" t="str">
        <f>"2561409013708"</f>
        <v>2561409013708</v>
      </c>
      <c r="C8859" s="8" t="s">
        <v>15</v>
      </c>
      <c r="D8859" s="9">
        <v>57.99</v>
      </c>
      <c r="E8859" s="8">
        <v>129</v>
      </c>
    </row>
    <row r="8860" s="3" customFormat="1" ht="18.75" spans="1:5">
      <c r="A8860" s="8" t="str">
        <f t="shared" si="154"/>
        <v>250036</v>
      </c>
      <c r="B8860" s="8" t="str">
        <f>"2561409012709"</f>
        <v>2561409012709</v>
      </c>
      <c r="C8860" s="8" t="s">
        <v>15</v>
      </c>
      <c r="D8860" s="9">
        <v>57.82</v>
      </c>
      <c r="E8860" s="8">
        <v>130</v>
      </c>
    </row>
    <row r="8861" s="3" customFormat="1" ht="18.75" spans="1:5">
      <c r="A8861" s="8" t="str">
        <f t="shared" si="154"/>
        <v>250036</v>
      </c>
      <c r="B8861" s="8" t="str">
        <f>"2561409011724"</f>
        <v>2561409011724</v>
      </c>
      <c r="C8861" s="8" t="s">
        <v>15</v>
      </c>
      <c r="D8861" s="9">
        <v>57.76</v>
      </c>
      <c r="E8861" s="8">
        <v>131</v>
      </c>
    </row>
    <row r="8862" s="3" customFormat="1" ht="18.75" spans="1:5">
      <c r="A8862" s="8" t="str">
        <f t="shared" si="154"/>
        <v>250036</v>
      </c>
      <c r="B8862" s="8" t="str">
        <f>"2561409012324"</f>
        <v>2561409012324</v>
      </c>
      <c r="C8862" s="8" t="s">
        <v>15</v>
      </c>
      <c r="D8862" s="9">
        <v>57.73</v>
      </c>
      <c r="E8862" s="8">
        <v>132</v>
      </c>
    </row>
    <row r="8863" s="3" customFormat="1" ht="18.75" spans="1:5">
      <c r="A8863" s="8" t="str">
        <f t="shared" si="154"/>
        <v>250036</v>
      </c>
      <c r="B8863" s="8" t="str">
        <f>"2561409011820"</f>
        <v>2561409011820</v>
      </c>
      <c r="C8863" s="8" t="s">
        <v>15</v>
      </c>
      <c r="D8863" s="9">
        <v>57.7</v>
      </c>
      <c r="E8863" s="8">
        <v>133</v>
      </c>
    </row>
    <row r="8864" s="3" customFormat="1" ht="18.75" spans="1:5">
      <c r="A8864" s="8" t="str">
        <f t="shared" si="154"/>
        <v>250036</v>
      </c>
      <c r="B8864" s="8" t="str">
        <f>"2561409013601"</f>
        <v>2561409013601</v>
      </c>
      <c r="C8864" s="8" t="s">
        <v>15</v>
      </c>
      <c r="D8864" s="9">
        <v>57.66</v>
      </c>
      <c r="E8864" s="8">
        <v>134</v>
      </c>
    </row>
    <row r="8865" s="3" customFormat="1" ht="18.75" spans="1:5">
      <c r="A8865" s="8" t="str">
        <f t="shared" si="154"/>
        <v>250036</v>
      </c>
      <c r="B8865" s="8" t="str">
        <f>"2561409012809"</f>
        <v>2561409012809</v>
      </c>
      <c r="C8865" s="8" t="s">
        <v>15</v>
      </c>
      <c r="D8865" s="9">
        <v>57.6</v>
      </c>
      <c r="E8865" s="8">
        <v>135</v>
      </c>
    </row>
    <row r="8866" s="3" customFormat="1" ht="18.75" spans="1:5">
      <c r="A8866" s="8" t="str">
        <f t="shared" si="154"/>
        <v>250036</v>
      </c>
      <c r="B8866" s="8" t="str">
        <f>"2561409011916"</f>
        <v>2561409011916</v>
      </c>
      <c r="C8866" s="8" t="s">
        <v>15</v>
      </c>
      <c r="D8866" s="9">
        <v>57.59</v>
      </c>
      <c r="E8866" s="8">
        <v>136</v>
      </c>
    </row>
    <row r="8867" s="3" customFormat="1" ht="18.75" spans="1:5">
      <c r="A8867" s="8" t="str">
        <f t="shared" si="154"/>
        <v>250036</v>
      </c>
      <c r="B8867" s="8" t="str">
        <f>"2561409011723"</f>
        <v>2561409011723</v>
      </c>
      <c r="C8867" s="8" t="s">
        <v>15</v>
      </c>
      <c r="D8867" s="9">
        <v>57.58</v>
      </c>
      <c r="E8867" s="8">
        <v>137</v>
      </c>
    </row>
    <row r="8868" s="3" customFormat="1" ht="18.75" spans="1:5">
      <c r="A8868" s="8" t="str">
        <f t="shared" si="154"/>
        <v>250036</v>
      </c>
      <c r="B8868" s="8" t="str">
        <f>"2561409011903"</f>
        <v>2561409011903</v>
      </c>
      <c r="C8868" s="8" t="s">
        <v>15</v>
      </c>
      <c r="D8868" s="9">
        <v>57.57</v>
      </c>
      <c r="E8868" s="8">
        <v>138</v>
      </c>
    </row>
    <row r="8869" s="3" customFormat="1" ht="18.75" spans="1:5">
      <c r="A8869" s="8" t="str">
        <f t="shared" si="154"/>
        <v>250036</v>
      </c>
      <c r="B8869" s="8" t="str">
        <f>"2561409012226"</f>
        <v>2561409012226</v>
      </c>
      <c r="C8869" s="8" t="s">
        <v>15</v>
      </c>
      <c r="D8869" s="9">
        <v>57.53</v>
      </c>
      <c r="E8869" s="8">
        <v>139</v>
      </c>
    </row>
    <row r="8870" s="3" customFormat="1" ht="18.75" spans="1:5">
      <c r="A8870" s="8" t="str">
        <f t="shared" si="154"/>
        <v>250036</v>
      </c>
      <c r="B8870" s="8" t="str">
        <f>"2561409013612"</f>
        <v>2561409013612</v>
      </c>
      <c r="C8870" s="8" t="s">
        <v>15</v>
      </c>
      <c r="D8870" s="9">
        <v>57.37</v>
      </c>
      <c r="E8870" s="8">
        <v>140</v>
      </c>
    </row>
    <row r="8871" s="3" customFormat="1" ht="18.75" spans="1:5">
      <c r="A8871" s="8" t="str">
        <f t="shared" si="154"/>
        <v>250036</v>
      </c>
      <c r="B8871" s="8" t="str">
        <f>"2561409011726"</f>
        <v>2561409011726</v>
      </c>
      <c r="C8871" s="8" t="s">
        <v>15</v>
      </c>
      <c r="D8871" s="9">
        <v>57.33</v>
      </c>
      <c r="E8871" s="8">
        <v>141</v>
      </c>
    </row>
    <row r="8872" s="3" customFormat="1" ht="18.75" spans="1:5">
      <c r="A8872" s="8" t="str">
        <f t="shared" si="154"/>
        <v>250036</v>
      </c>
      <c r="B8872" s="8" t="str">
        <f>"2561409012405"</f>
        <v>2561409012405</v>
      </c>
      <c r="C8872" s="8" t="s">
        <v>15</v>
      </c>
      <c r="D8872" s="9">
        <v>57.3</v>
      </c>
      <c r="E8872" s="8">
        <v>142</v>
      </c>
    </row>
    <row r="8873" s="3" customFormat="1" ht="18.75" spans="1:5">
      <c r="A8873" s="8" t="str">
        <f t="shared" si="154"/>
        <v>250036</v>
      </c>
      <c r="B8873" s="8" t="str">
        <f>"2561409013701"</f>
        <v>2561409013701</v>
      </c>
      <c r="C8873" s="8" t="s">
        <v>15</v>
      </c>
      <c r="D8873" s="9">
        <v>57.29</v>
      </c>
      <c r="E8873" s="8">
        <v>143</v>
      </c>
    </row>
    <row r="8874" s="3" customFormat="1" ht="18.75" spans="1:5">
      <c r="A8874" s="8" t="str">
        <f t="shared" si="154"/>
        <v>250036</v>
      </c>
      <c r="B8874" s="8" t="str">
        <f>"2561409012410"</f>
        <v>2561409012410</v>
      </c>
      <c r="C8874" s="8" t="s">
        <v>15</v>
      </c>
      <c r="D8874" s="9">
        <v>57.26</v>
      </c>
      <c r="E8874" s="8">
        <v>144</v>
      </c>
    </row>
    <row r="8875" s="3" customFormat="1" ht="18.75" spans="1:5">
      <c r="A8875" s="8" t="str">
        <f t="shared" si="154"/>
        <v>250036</v>
      </c>
      <c r="B8875" s="8" t="str">
        <f>"2561409013115"</f>
        <v>2561409013115</v>
      </c>
      <c r="C8875" s="8" t="s">
        <v>15</v>
      </c>
      <c r="D8875" s="9">
        <v>57.26</v>
      </c>
      <c r="E8875" s="8">
        <v>144</v>
      </c>
    </row>
    <row r="8876" s="3" customFormat="1" ht="18.75" spans="1:5">
      <c r="A8876" s="8" t="str">
        <f t="shared" si="154"/>
        <v>250036</v>
      </c>
      <c r="B8876" s="8" t="str">
        <f>"2561409011907"</f>
        <v>2561409011907</v>
      </c>
      <c r="C8876" s="8" t="s">
        <v>15</v>
      </c>
      <c r="D8876" s="9">
        <v>57.23</v>
      </c>
      <c r="E8876" s="8">
        <v>146</v>
      </c>
    </row>
    <row r="8877" s="3" customFormat="1" ht="18.75" spans="1:5">
      <c r="A8877" s="8" t="str">
        <f t="shared" si="154"/>
        <v>250036</v>
      </c>
      <c r="B8877" s="8" t="str">
        <f>"2561409013729"</f>
        <v>2561409013729</v>
      </c>
      <c r="C8877" s="8" t="s">
        <v>15</v>
      </c>
      <c r="D8877" s="9">
        <v>57.2</v>
      </c>
      <c r="E8877" s="8">
        <v>147</v>
      </c>
    </row>
    <row r="8878" s="3" customFormat="1" ht="18.75" spans="1:5">
      <c r="A8878" s="8" t="str">
        <f t="shared" si="154"/>
        <v>250036</v>
      </c>
      <c r="B8878" s="8" t="str">
        <f>"2561409011804"</f>
        <v>2561409011804</v>
      </c>
      <c r="C8878" s="8" t="s">
        <v>15</v>
      </c>
      <c r="D8878" s="9">
        <v>57.18</v>
      </c>
      <c r="E8878" s="8">
        <v>148</v>
      </c>
    </row>
    <row r="8879" s="3" customFormat="1" ht="18.75" spans="1:5">
      <c r="A8879" s="8" t="str">
        <f t="shared" si="154"/>
        <v>250036</v>
      </c>
      <c r="B8879" s="8" t="str">
        <f>"2561409012309"</f>
        <v>2561409012309</v>
      </c>
      <c r="C8879" s="8" t="s">
        <v>15</v>
      </c>
      <c r="D8879" s="9">
        <v>57.18</v>
      </c>
      <c r="E8879" s="8">
        <v>148</v>
      </c>
    </row>
    <row r="8880" s="3" customFormat="1" ht="18.75" spans="1:5">
      <c r="A8880" s="8" t="str">
        <f t="shared" si="154"/>
        <v>250036</v>
      </c>
      <c r="B8880" s="8" t="str">
        <f>"2561409013730"</f>
        <v>2561409013730</v>
      </c>
      <c r="C8880" s="8" t="s">
        <v>15</v>
      </c>
      <c r="D8880" s="9">
        <v>57.07</v>
      </c>
      <c r="E8880" s="8">
        <v>150</v>
      </c>
    </row>
    <row r="8881" s="3" customFormat="1" ht="18.75" spans="1:5">
      <c r="A8881" s="8" t="str">
        <f t="shared" si="154"/>
        <v>250036</v>
      </c>
      <c r="B8881" s="8" t="str">
        <f>"2561409013530"</f>
        <v>2561409013530</v>
      </c>
      <c r="C8881" s="8" t="s">
        <v>15</v>
      </c>
      <c r="D8881" s="9">
        <v>57.05</v>
      </c>
      <c r="E8881" s="8">
        <v>151</v>
      </c>
    </row>
    <row r="8882" s="3" customFormat="1" ht="18.75" spans="1:5">
      <c r="A8882" s="8" t="str">
        <f t="shared" si="154"/>
        <v>250036</v>
      </c>
      <c r="B8882" s="8" t="str">
        <f>"2561409013118"</f>
        <v>2561409013118</v>
      </c>
      <c r="C8882" s="8" t="s">
        <v>15</v>
      </c>
      <c r="D8882" s="9">
        <v>57.04</v>
      </c>
      <c r="E8882" s="8">
        <v>152</v>
      </c>
    </row>
    <row r="8883" s="3" customFormat="1" ht="18.75" spans="1:5">
      <c r="A8883" s="8" t="str">
        <f t="shared" si="154"/>
        <v>250036</v>
      </c>
      <c r="B8883" s="8" t="str">
        <f>"2561409011722"</f>
        <v>2561409011722</v>
      </c>
      <c r="C8883" s="8" t="s">
        <v>15</v>
      </c>
      <c r="D8883" s="9">
        <v>56.91</v>
      </c>
      <c r="E8883" s="8">
        <v>153</v>
      </c>
    </row>
    <row r="8884" s="3" customFormat="1" ht="18.75" spans="1:5">
      <c r="A8884" s="8" t="str">
        <f t="shared" si="154"/>
        <v>250036</v>
      </c>
      <c r="B8884" s="8" t="str">
        <f>"2561409011817"</f>
        <v>2561409011817</v>
      </c>
      <c r="C8884" s="8" t="s">
        <v>15</v>
      </c>
      <c r="D8884" s="9">
        <v>56.91</v>
      </c>
      <c r="E8884" s="8">
        <v>153</v>
      </c>
    </row>
    <row r="8885" s="3" customFormat="1" ht="18.75" spans="1:5">
      <c r="A8885" s="8" t="str">
        <f t="shared" si="154"/>
        <v>250036</v>
      </c>
      <c r="B8885" s="8" t="str">
        <f>"2561409011720"</f>
        <v>2561409011720</v>
      </c>
      <c r="C8885" s="8" t="s">
        <v>15</v>
      </c>
      <c r="D8885" s="9">
        <v>56.89</v>
      </c>
      <c r="E8885" s="8">
        <v>155</v>
      </c>
    </row>
    <row r="8886" s="3" customFormat="1" ht="18.75" spans="1:5">
      <c r="A8886" s="8" t="str">
        <f t="shared" si="154"/>
        <v>250036</v>
      </c>
      <c r="B8886" s="8" t="str">
        <f>"2561409013430"</f>
        <v>2561409013430</v>
      </c>
      <c r="C8886" s="8" t="s">
        <v>15</v>
      </c>
      <c r="D8886" s="9">
        <v>56.82</v>
      </c>
      <c r="E8886" s="8">
        <v>156</v>
      </c>
    </row>
    <row r="8887" s="3" customFormat="1" ht="18.75" spans="1:5">
      <c r="A8887" s="8" t="str">
        <f t="shared" si="154"/>
        <v>250036</v>
      </c>
      <c r="B8887" s="8" t="str">
        <f>"2561409013603"</f>
        <v>2561409013603</v>
      </c>
      <c r="C8887" s="8" t="s">
        <v>15</v>
      </c>
      <c r="D8887" s="9">
        <v>56.8</v>
      </c>
      <c r="E8887" s="8">
        <v>157</v>
      </c>
    </row>
    <row r="8888" s="3" customFormat="1" ht="18.75" spans="1:5">
      <c r="A8888" s="8" t="str">
        <f t="shared" si="154"/>
        <v>250036</v>
      </c>
      <c r="B8888" s="8" t="str">
        <f>"2561409013507"</f>
        <v>2561409013507</v>
      </c>
      <c r="C8888" s="8" t="s">
        <v>15</v>
      </c>
      <c r="D8888" s="9">
        <v>56.69</v>
      </c>
      <c r="E8888" s="8">
        <v>158</v>
      </c>
    </row>
    <row r="8889" s="3" customFormat="1" ht="18.75" spans="1:5">
      <c r="A8889" s="8" t="str">
        <f t="shared" si="154"/>
        <v>250036</v>
      </c>
      <c r="B8889" s="8" t="str">
        <f>"2561409013224"</f>
        <v>2561409013224</v>
      </c>
      <c r="C8889" s="8" t="s">
        <v>15</v>
      </c>
      <c r="D8889" s="9">
        <v>56.68</v>
      </c>
      <c r="E8889" s="8">
        <v>159</v>
      </c>
    </row>
    <row r="8890" s="3" customFormat="1" ht="18.75" spans="1:5">
      <c r="A8890" s="8" t="str">
        <f t="shared" si="154"/>
        <v>250036</v>
      </c>
      <c r="B8890" s="8" t="str">
        <f>"2561409011805"</f>
        <v>2561409011805</v>
      </c>
      <c r="C8890" s="8" t="s">
        <v>15</v>
      </c>
      <c r="D8890" s="9">
        <v>56.66</v>
      </c>
      <c r="E8890" s="8">
        <v>160</v>
      </c>
    </row>
    <row r="8891" s="3" customFormat="1" ht="18.75" spans="1:5">
      <c r="A8891" s="8" t="str">
        <f t="shared" si="154"/>
        <v>250036</v>
      </c>
      <c r="B8891" s="8" t="str">
        <f>"2561409012420"</f>
        <v>2561409012420</v>
      </c>
      <c r="C8891" s="8" t="s">
        <v>15</v>
      </c>
      <c r="D8891" s="9">
        <v>56.65</v>
      </c>
      <c r="E8891" s="8">
        <v>161</v>
      </c>
    </row>
    <row r="8892" s="3" customFormat="1" ht="18.75" spans="1:5">
      <c r="A8892" s="8" t="str">
        <f t="shared" si="154"/>
        <v>250036</v>
      </c>
      <c r="B8892" s="8" t="str">
        <f>"2561409013308"</f>
        <v>2561409013308</v>
      </c>
      <c r="C8892" s="8" t="s">
        <v>15</v>
      </c>
      <c r="D8892" s="9">
        <v>56.65</v>
      </c>
      <c r="E8892" s="8">
        <v>161</v>
      </c>
    </row>
    <row r="8893" s="3" customFormat="1" ht="18.75" spans="1:5">
      <c r="A8893" s="8" t="str">
        <f t="shared" si="154"/>
        <v>250036</v>
      </c>
      <c r="B8893" s="8" t="str">
        <f>"2561409013305"</f>
        <v>2561409013305</v>
      </c>
      <c r="C8893" s="8" t="s">
        <v>15</v>
      </c>
      <c r="D8893" s="9">
        <v>56.56</v>
      </c>
      <c r="E8893" s="8">
        <v>163</v>
      </c>
    </row>
    <row r="8894" s="3" customFormat="1" ht="18.75" spans="1:5">
      <c r="A8894" s="8" t="str">
        <f t="shared" si="154"/>
        <v>250036</v>
      </c>
      <c r="B8894" s="8" t="str">
        <f>"2561409011818"</f>
        <v>2561409011818</v>
      </c>
      <c r="C8894" s="8" t="s">
        <v>15</v>
      </c>
      <c r="D8894" s="9">
        <v>56.51</v>
      </c>
      <c r="E8894" s="8">
        <v>164</v>
      </c>
    </row>
    <row r="8895" s="3" customFormat="1" ht="18.75" spans="1:5">
      <c r="A8895" s="8" t="str">
        <f t="shared" si="154"/>
        <v>250036</v>
      </c>
      <c r="B8895" s="8" t="str">
        <f>"2561409013006"</f>
        <v>2561409013006</v>
      </c>
      <c r="C8895" s="8" t="s">
        <v>15</v>
      </c>
      <c r="D8895" s="9">
        <v>56.49</v>
      </c>
      <c r="E8895" s="8">
        <v>165</v>
      </c>
    </row>
    <row r="8896" s="3" customFormat="1" ht="18.75" spans="1:5">
      <c r="A8896" s="8" t="str">
        <f t="shared" si="154"/>
        <v>250036</v>
      </c>
      <c r="B8896" s="8" t="str">
        <f>"2561409013102"</f>
        <v>2561409013102</v>
      </c>
      <c r="C8896" s="8" t="s">
        <v>15</v>
      </c>
      <c r="D8896" s="9">
        <v>56.42</v>
      </c>
      <c r="E8896" s="8">
        <v>166</v>
      </c>
    </row>
    <row r="8897" s="3" customFormat="1" ht="18.75" spans="1:5">
      <c r="A8897" s="8" t="str">
        <f t="shared" si="154"/>
        <v>250036</v>
      </c>
      <c r="B8897" s="8" t="str">
        <f>"2561409012026"</f>
        <v>2561409012026</v>
      </c>
      <c r="C8897" s="8" t="s">
        <v>15</v>
      </c>
      <c r="D8897" s="9">
        <v>56.41</v>
      </c>
      <c r="E8897" s="8">
        <v>167</v>
      </c>
    </row>
    <row r="8898" s="3" customFormat="1" ht="18.75" spans="1:5">
      <c r="A8898" s="8" t="str">
        <f t="shared" si="154"/>
        <v>250036</v>
      </c>
      <c r="B8898" s="8" t="str">
        <f>"2561409011905"</f>
        <v>2561409011905</v>
      </c>
      <c r="C8898" s="8" t="s">
        <v>15</v>
      </c>
      <c r="D8898" s="9">
        <v>56.34</v>
      </c>
      <c r="E8898" s="8">
        <v>168</v>
      </c>
    </row>
    <row r="8899" s="3" customFormat="1" ht="18.75" spans="1:5">
      <c r="A8899" s="8" t="str">
        <f t="shared" si="154"/>
        <v>250036</v>
      </c>
      <c r="B8899" s="8" t="str">
        <f>"2561409013828"</f>
        <v>2561409013828</v>
      </c>
      <c r="C8899" s="8" t="s">
        <v>15</v>
      </c>
      <c r="D8899" s="9">
        <v>56.28</v>
      </c>
      <c r="E8899" s="8">
        <v>169</v>
      </c>
    </row>
    <row r="8900" s="3" customFormat="1" ht="18.75" spans="1:5">
      <c r="A8900" s="8" t="str">
        <f t="shared" si="154"/>
        <v>250036</v>
      </c>
      <c r="B8900" s="8" t="str">
        <f>"2561409013018"</f>
        <v>2561409013018</v>
      </c>
      <c r="C8900" s="8" t="s">
        <v>15</v>
      </c>
      <c r="D8900" s="9">
        <v>56.13</v>
      </c>
      <c r="E8900" s="8">
        <v>170</v>
      </c>
    </row>
    <row r="8901" s="3" customFormat="1" ht="18.75" spans="1:5">
      <c r="A8901" s="8" t="str">
        <f t="shared" si="154"/>
        <v>250036</v>
      </c>
      <c r="B8901" s="8" t="str">
        <f>"2561409011918"</f>
        <v>2561409011918</v>
      </c>
      <c r="C8901" s="8" t="s">
        <v>15</v>
      </c>
      <c r="D8901" s="9">
        <v>56.04</v>
      </c>
      <c r="E8901" s="8">
        <v>171</v>
      </c>
    </row>
    <row r="8902" s="3" customFormat="1" ht="18.75" spans="1:5">
      <c r="A8902" s="8" t="str">
        <f t="shared" si="154"/>
        <v>250036</v>
      </c>
      <c r="B8902" s="8" t="str">
        <f>"2561409012019"</f>
        <v>2561409012019</v>
      </c>
      <c r="C8902" s="8" t="s">
        <v>15</v>
      </c>
      <c r="D8902" s="9">
        <v>56.02</v>
      </c>
      <c r="E8902" s="8">
        <v>172</v>
      </c>
    </row>
    <row r="8903" s="3" customFormat="1" ht="18.75" spans="1:5">
      <c r="A8903" s="8" t="str">
        <f t="shared" si="154"/>
        <v>250036</v>
      </c>
      <c r="B8903" s="8" t="str">
        <f>"2561409012327"</f>
        <v>2561409012327</v>
      </c>
      <c r="C8903" s="8" t="s">
        <v>15</v>
      </c>
      <c r="D8903" s="9">
        <v>56.02</v>
      </c>
      <c r="E8903" s="8">
        <v>172</v>
      </c>
    </row>
    <row r="8904" s="3" customFormat="1" ht="18.75" spans="1:5">
      <c r="A8904" s="8" t="str">
        <f t="shared" si="154"/>
        <v>250036</v>
      </c>
      <c r="B8904" s="8" t="str">
        <f>"2561409012225"</f>
        <v>2561409012225</v>
      </c>
      <c r="C8904" s="8" t="s">
        <v>15</v>
      </c>
      <c r="D8904" s="9">
        <v>55.94</v>
      </c>
      <c r="E8904" s="8">
        <v>174</v>
      </c>
    </row>
    <row r="8905" s="3" customFormat="1" ht="18.75" spans="1:5">
      <c r="A8905" s="8" t="str">
        <f t="shared" si="154"/>
        <v>250036</v>
      </c>
      <c r="B8905" s="8" t="str">
        <f>"2561409013203"</f>
        <v>2561409013203</v>
      </c>
      <c r="C8905" s="8" t="s">
        <v>15</v>
      </c>
      <c r="D8905" s="9">
        <v>55.93</v>
      </c>
      <c r="E8905" s="8">
        <v>175</v>
      </c>
    </row>
    <row r="8906" s="3" customFormat="1" ht="18.75" spans="1:5">
      <c r="A8906" s="8" t="str">
        <f t="shared" si="154"/>
        <v>250036</v>
      </c>
      <c r="B8906" s="8" t="str">
        <f>"2561409012310"</f>
        <v>2561409012310</v>
      </c>
      <c r="C8906" s="8" t="s">
        <v>15</v>
      </c>
      <c r="D8906" s="9">
        <v>55.89</v>
      </c>
      <c r="E8906" s="8">
        <v>176</v>
      </c>
    </row>
    <row r="8907" s="3" customFormat="1" ht="18.75" spans="1:5">
      <c r="A8907" s="8" t="str">
        <f t="shared" si="154"/>
        <v>250036</v>
      </c>
      <c r="B8907" s="8" t="str">
        <f>"2561409012913"</f>
        <v>2561409012913</v>
      </c>
      <c r="C8907" s="8" t="s">
        <v>15</v>
      </c>
      <c r="D8907" s="9">
        <v>55.87</v>
      </c>
      <c r="E8907" s="8">
        <v>177</v>
      </c>
    </row>
    <row r="8908" s="3" customFormat="1" ht="18.75" spans="1:5">
      <c r="A8908" s="8" t="str">
        <f t="shared" si="154"/>
        <v>250036</v>
      </c>
      <c r="B8908" s="8" t="str">
        <f>"2561409013516"</f>
        <v>2561409013516</v>
      </c>
      <c r="C8908" s="8" t="s">
        <v>15</v>
      </c>
      <c r="D8908" s="9">
        <v>55.86</v>
      </c>
      <c r="E8908" s="8">
        <v>178</v>
      </c>
    </row>
    <row r="8909" s="3" customFormat="1" ht="18.75" spans="1:5">
      <c r="A8909" s="8" t="str">
        <f t="shared" si="154"/>
        <v>250036</v>
      </c>
      <c r="B8909" s="8" t="str">
        <f>"2561409012214"</f>
        <v>2561409012214</v>
      </c>
      <c r="C8909" s="8" t="s">
        <v>15</v>
      </c>
      <c r="D8909" s="9">
        <v>55.82</v>
      </c>
      <c r="E8909" s="8">
        <v>179</v>
      </c>
    </row>
    <row r="8910" s="3" customFormat="1" ht="18.75" spans="1:5">
      <c r="A8910" s="8" t="str">
        <f t="shared" si="154"/>
        <v>250036</v>
      </c>
      <c r="B8910" s="8" t="str">
        <f>"2561409011813"</f>
        <v>2561409011813</v>
      </c>
      <c r="C8910" s="8" t="s">
        <v>15</v>
      </c>
      <c r="D8910" s="9">
        <v>55.77</v>
      </c>
      <c r="E8910" s="8">
        <v>180</v>
      </c>
    </row>
    <row r="8911" s="3" customFormat="1" ht="18.75" spans="1:5">
      <c r="A8911" s="8" t="str">
        <f t="shared" si="154"/>
        <v>250036</v>
      </c>
      <c r="B8911" s="8" t="str">
        <f>"2561409012017"</f>
        <v>2561409012017</v>
      </c>
      <c r="C8911" s="8" t="s">
        <v>15</v>
      </c>
      <c r="D8911" s="9">
        <v>55.68</v>
      </c>
      <c r="E8911" s="8">
        <v>181</v>
      </c>
    </row>
    <row r="8912" s="3" customFormat="1" ht="18.75" spans="1:5">
      <c r="A8912" s="8" t="str">
        <f t="shared" si="154"/>
        <v>250036</v>
      </c>
      <c r="B8912" s="8" t="str">
        <f>"2561409013012"</f>
        <v>2561409013012</v>
      </c>
      <c r="C8912" s="8" t="s">
        <v>15</v>
      </c>
      <c r="D8912" s="9">
        <v>55.58</v>
      </c>
      <c r="E8912" s="8">
        <v>182</v>
      </c>
    </row>
    <row r="8913" s="3" customFormat="1" ht="18.75" spans="1:5">
      <c r="A8913" s="8" t="str">
        <f t="shared" si="154"/>
        <v>250036</v>
      </c>
      <c r="B8913" s="8" t="str">
        <f>"2561409012208"</f>
        <v>2561409012208</v>
      </c>
      <c r="C8913" s="8" t="s">
        <v>15</v>
      </c>
      <c r="D8913" s="9">
        <v>55.55</v>
      </c>
      <c r="E8913" s="8">
        <v>183</v>
      </c>
    </row>
    <row r="8914" s="3" customFormat="1" ht="18.75" spans="1:5">
      <c r="A8914" s="8" t="str">
        <f t="shared" si="154"/>
        <v>250036</v>
      </c>
      <c r="B8914" s="8" t="str">
        <f>"2561409013413"</f>
        <v>2561409013413</v>
      </c>
      <c r="C8914" s="8" t="s">
        <v>15</v>
      </c>
      <c r="D8914" s="9">
        <v>55.47</v>
      </c>
      <c r="E8914" s="8">
        <v>184</v>
      </c>
    </row>
    <row r="8915" s="3" customFormat="1" ht="18.75" spans="1:5">
      <c r="A8915" s="8" t="str">
        <f t="shared" si="154"/>
        <v>250036</v>
      </c>
      <c r="B8915" s="8" t="str">
        <f>"2561409012505"</f>
        <v>2561409012505</v>
      </c>
      <c r="C8915" s="8" t="s">
        <v>15</v>
      </c>
      <c r="D8915" s="9">
        <v>55.45</v>
      </c>
      <c r="E8915" s="8">
        <v>185</v>
      </c>
    </row>
    <row r="8916" s="3" customFormat="1" ht="18.75" spans="1:5">
      <c r="A8916" s="8" t="str">
        <f t="shared" si="154"/>
        <v>250036</v>
      </c>
      <c r="B8916" s="8" t="str">
        <f>"2561409012820"</f>
        <v>2561409012820</v>
      </c>
      <c r="C8916" s="8" t="s">
        <v>15</v>
      </c>
      <c r="D8916" s="9">
        <v>55.44</v>
      </c>
      <c r="E8916" s="8">
        <v>186</v>
      </c>
    </row>
    <row r="8917" s="3" customFormat="1" ht="18.75" spans="1:5">
      <c r="A8917" s="8" t="str">
        <f t="shared" si="154"/>
        <v>250036</v>
      </c>
      <c r="B8917" s="8" t="str">
        <f>"2561409011825"</f>
        <v>2561409011825</v>
      </c>
      <c r="C8917" s="8" t="s">
        <v>15</v>
      </c>
      <c r="D8917" s="9">
        <v>55.43</v>
      </c>
      <c r="E8917" s="8">
        <v>187</v>
      </c>
    </row>
    <row r="8918" s="3" customFormat="1" ht="18.75" spans="1:5">
      <c r="A8918" s="8" t="str">
        <f t="shared" si="154"/>
        <v>250036</v>
      </c>
      <c r="B8918" s="8" t="str">
        <f>"2561409013521"</f>
        <v>2561409013521</v>
      </c>
      <c r="C8918" s="8" t="s">
        <v>15</v>
      </c>
      <c r="D8918" s="9">
        <v>55.42</v>
      </c>
      <c r="E8918" s="8">
        <v>188</v>
      </c>
    </row>
    <row r="8919" s="3" customFormat="1" ht="18.75" spans="1:5">
      <c r="A8919" s="8" t="str">
        <f t="shared" si="154"/>
        <v>250036</v>
      </c>
      <c r="B8919" s="8" t="str">
        <f>"2561409013105"</f>
        <v>2561409013105</v>
      </c>
      <c r="C8919" s="8" t="s">
        <v>15</v>
      </c>
      <c r="D8919" s="9">
        <v>55.41</v>
      </c>
      <c r="E8919" s="8">
        <v>189</v>
      </c>
    </row>
    <row r="8920" s="3" customFormat="1" ht="18.75" spans="1:5">
      <c r="A8920" s="8" t="str">
        <f t="shared" si="154"/>
        <v>250036</v>
      </c>
      <c r="B8920" s="8" t="str">
        <f>"2561409013527"</f>
        <v>2561409013527</v>
      </c>
      <c r="C8920" s="8" t="s">
        <v>15</v>
      </c>
      <c r="D8920" s="9">
        <v>55.35</v>
      </c>
      <c r="E8920" s="8">
        <v>190</v>
      </c>
    </row>
    <row r="8921" s="3" customFormat="1" ht="18.75" spans="1:5">
      <c r="A8921" s="8" t="str">
        <f t="shared" si="154"/>
        <v>250036</v>
      </c>
      <c r="B8921" s="8" t="str">
        <f>"2561409012705"</f>
        <v>2561409012705</v>
      </c>
      <c r="C8921" s="8" t="s">
        <v>15</v>
      </c>
      <c r="D8921" s="9">
        <v>55.3</v>
      </c>
      <c r="E8921" s="8">
        <v>191</v>
      </c>
    </row>
    <row r="8922" s="3" customFormat="1" ht="18.75" spans="1:5">
      <c r="A8922" s="8" t="str">
        <f t="shared" si="154"/>
        <v>250036</v>
      </c>
      <c r="B8922" s="8" t="str">
        <f>"2561409012803"</f>
        <v>2561409012803</v>
      </c>
      <c r="C8922" s="8" t="s">
        <v>15</v>
      </c>
      <c r="D8922" s="9">
        <v>55.28</v>
      </c>
      <c r="E8922" s="8">
        <v>192</v>
      </c>
    </row>
    <row r="8923" s="3" customFormat="1" ht="18.75" spans="1:5">
      <c r="A8923" s="8" t="str">
        <f t="shared" ref="A8923:A8986" si="155">"250036"</f>
        <v>250036</v>
      </c>
      <c r="B8923" s="8" t="str">
        <f>"2561409012305"</f>
        <v>2561409012305</v>
      </c>
      <c r="C8923" s="8" t="s">
        <v>15</v>
      </c>
      <c r="D8923" s="9">
        <v>55.27</v>
      </c>
      <c r="E8923" s="8">
        <v>193</v>
      </c>
    </row>
    <row r="8924" s="3" customFormat="1" ht="18.75" spans="1:5">
      <c r="A8924" s="8" t="str">
        <f t="shared" si="155"/>
        <v>250036</v>
      </c>
      <c r="B8924" s="8" t="str">
        <f>"2561409012023"</f>
        <v>2561409012023</v>
      </c>
      <c r="C8924" s="8" t="s">
        <v>15</v>
      </c>
      <c r="D8924" s="9">
        <v>55.22</v>
      </c>
      <c r="E8924" s="8">
        <v>194</v>
      </c>
    </row>
    <row r="8925" s="3" customFormat="1" ht="18.75" spans="1:5">
      <c r="A8925" s="8" t="str">
        <f t="shared" si="155"/>
        <v>250036</v>
      </c>
      <c r="B8925" s="8" t="str">
        <f>"2561409012315"</f>
        <v>2561409012315</v>
      </c>
      <c r="C8925" s="8" t="s">
        <v>15</v>
      </c>
      <c r="D8925" s="9">
        <v>55.19</v>
      </c>
      <c r="E8925" s="8">
        <v>195</v>
      </c>
    </row>
    <row r="8926" s="3" customFormat="1" ht="18.75" spans="1:5">
      <c r="A8926" s="8" t="str">
        <f t="shared" si="155"/>
        <v>250036</v>
      </c>
      <c r="B8926" s="8" t="str">
        <f>"2561409013324"</f>
        <v>2561409013324</v>
      </c>
      <c r="C8926" s="8" t="s">
        <v>15</v>
      </c>
      <c r="D8926" s="9">
        <v>55.18</v>
      </c>
      <c r="E8926" s="8">
        <v>196</v>
      </c>
    </row>
    <row r="8927" s="3" customFormat="1" ht="18.75" spans="1:5">
      <c r="A8927" s="8" t="str">
        <f t="shared" si="155"/>
        <v>250036</v>
      </c>
      <c r="B8927" s="8" t="str">
        <f>"2561409013027"</f>
        <v>2561409013027</v>
      </c>
      <c r="C8927" s="8" t="s">
        <v>15</v>
      </c>
      <c r="D8927" s="9">
        <v>55.07</v>
      </c>
      <c r="E8927" s="8">
        <v>197</v>
      </c>
    </row>
    <row r="8928" s="3" customFormat="1" ht="18.75" spans="1:5">
      <c r="A8928" s="8" t="str">
        <f t="shared" si="155"/>
        <v>250036</v>
      </c>
      <c r="B8928" s="8" t="str">
        <f>"2561409013604"</f>
        <v>2561409013604</v>
      </c>
      <c r="C8928" s="8" t="s">
        <v>15</v>
      </c>
      <c r="D8928" s="9">
        <v>55.02</v>
      </c>
      <c r="E8928" s="8">
        <v>198</v>
      </c>
    </row>
    <row r="8929" s="3" customFormat="1" ht="18.75" spans="1:5">
      <c r="A8929" s="8" t="str">
        <f t="shared" si="155"/>
        <v>250036</v>
      </c>
      <c r="B8929" s="8" t="str">
        <f>"2561409012715"</f>
        <v>2561409012715</v>
      </c>
      <c r="C8929" s="8" t="s">
        <v>15</v>
      </c>
      <c r="D8929" s="9">
        <v>55</v>
      </c>
      <c r="E8929" s="8">
        <v>199</v>
      </c>
    </row>
    <row r="8930" s="3" customFormat="1" ht="18.75" spans="1:5">
      <c r="A8930" s="8" t="str">
        <f t="shared" si="155"/>
        <v>250036</v>
      </c>
      <c r="B8930" s="8" t="str">
        <f>"2561409012212"</f>
        <v>2561409012212</v>
      </c>
      <c r="C8930" s="8" t="s">
        <v>15</v>
      </c>
      <c r="D8930" s="9">
        <v>54.94</v>
      </c>
      <c r="E8930" s="8">
        <v>200</v>
      </c>
    </row>
    <row r="8931" s="3" customFormat="1" ht="18.75" spans="1:5">
      <c r="A8931" s="8" t="str">
        <f t="shared" si="155"/>
        <v>250036</v>
      </c>
      <c r="B8931" s="8" t="str">
        <f>"2561409013124"</f>
        <v>2561409013124</v>
      </c>
      <c r="C8931" s="8" t="s">
        <v>15</v>
      </c>
      <c r="D8931" s="9">
        <v>54.93</v>
      </c>
      <c r="E8931" s="8">
        <v>201</v>
      </c>
    </row>
    <row r="8932" s="3" customFormat="1" ht="18.75" spans="1:5">
      <c r="A8932" s="8" t="str">
        <f t="shared" si="155"/>
        <v>250036</v>
      </c>
      <c r="B8932" s="8" t="str">
        <f>"2561409012811"</f>
        <v>2561409012811</v>
      </c>
      <c r="C8932" s="8" t="s">
        <v>15</v>
      </c>
      <c r="D8932" s="9">
        <v>54.9</v>
      </c>
      <c r="E8932" s="8">
        <v>202</v>
      </c>
    </row>
    <row r="8933" s="3" customFormat="1" ht="18.75" spans="1:5">
      <c r="A8933" s="8" t="str">
        <f t="shared" si="155"/>
        <v>250036</v>
      </c>
      <c r="B8933" s="8" t="str">
        <f>"2561409013030"</f>
        <v>2561409013030</v>
      </c>
      <c r="C8933" s="8" t="s">
        <v>15</v>
      </c>
      <c r="D8933" s="9">
        <v>54.87</v>
      </c>
      <c r="E8933" s="8">
        <v>203</v>
      </c>
    </row>
    <row r="8934" s="3" customFormat="1" ht="18.75" spans="1:5">
      <c r="A8934" s="8" t="str">
        <f t="shared" si="155"/>
        <v>250036</v>
      </c>
      <c r="B8934" s="8" t="str">
        <f>"2561409013230"</f>
        <v>2561409013230</v>
      </c>
      <c r="C8934" s="8" t="s">
        <v>15</v>
      </c>
      <c r="D8934" s="9">
        <v>54.85</v>
      </c>
      <c r="E8934" s="8">
        <v>204</v>
      </c>
    </row>
    <row r="8935" s="3" customFormat="1" ht="18.75" spans="1:5">
      <c r="A8935" s="8" t="str">
        <f t="shared" si="155"/>
        <v>250036</v>
      </c>
      <c r="B8935" s="8" t="str">
        <f>"2561409012412"</f>
        <v>2561409012412</v>
      </c>
      <c r="C8935" s="8" t="s">
        <v>15</v>
      </c>
      <c r="D8935" s="9">
        <v>54.8</v>
      </c>
      <c r="E8935" s="8">
        <v>205</v>
      </c>
    </row>
    <row r="8936" s="3" customFormat="1" ht="18.75" spans="1:5">
      <c r="A8936" s="8" t="str">
        <f t="shared" si="155"/>
        <v>250036</v>
      </c>
      <c r="B8936" s="8" t="str">
        <f>"2561409012018"</f>
        <v>2561409012018</v>
      </c>
      <c r="C8936" s="8" t="s">
        <v>15</v>
      </c>
      <c r="D8936" s="9">
        <v>54.72</v>
      </c>
      <c r="E8936" s="8">
        <v>206</v>
      </c>
    </row>
    <row r="8937" s="3" customFormat="1" ht="18.75" spans="1:5">
      <c r="A8937" s="8" t="str">
        <f t="shared" si="155"/>
        <v>250036</v>
      </c>
      <c r="B8937" s="8" t="str">
        <f>"2561409012628"</f>
        <v>2561409012628</v>
      </c>
      <c r="C8937" s="8" t="s">
        <v>15</v>
      </c>
      <c r="D8937" s="9">
        <v>54.69</v>
      </c>
      <c r="E8937" s="8">
        <v>207</v>
      </c>
    </row>
    <row r="8938" s="3" customFormat="1" ht="18.75" spans="1:5">
      <c r="A8938" s="8" t="str">
        <f t="shared" si="155"/>
        <v>250036</v>
      </c>
      <c r="B8938" s="8" t="str">
        <f>"2561409013825"</f>
        <v>2561409013825</v>
      </c>
      <c r="C8938" s="8" t="s">
        <v>15</v>
      </c>
      <c r="D8938" s="9">
        <v>54.64</v>
      </c>
      <c r="E8938" s="8">
        <v>208</v>
      </c>
    </row>
    <row r="8939" s="3" customFormat="1" ht="18.75" spans="1:5">
      <c r="A8939" s="8" t="str">
        <f t="shared" si="155"/>
        <v>250036</v>
      </c>
      <c r="B8939" s="8" t="str">
        <f>"2561409013419"</f>
        <v>2561409013419</v>
      </c>
      <c r="C8939" s="8" t="s">
        <v>15</v>
      </c>
      <c r="D8939" s="9">
        <v>54.59</v>
      </c>
      <c r="E8939" s="8">
        <v>209</v>
      </c>
    </row>
    <row r="8940" s="3" customFormat="1" ht="18.75" spans="1:5">
      <c r="A8940" s="8" t="str">
        <f t="shared" si="155"/>
        <v>250036</v>
      </c>
      <c r="B8940" s="8" t="str">
        <f>"2561409012116"</f>
        <v>2561409012116</v>
      </c>
      <c r="C8940" s="8" t="s">
        <v>15</v>
      </c>
      <c r="D8940" s="9">
        <v>54.57</v>
      </c>
      <c r="E8940" s="8">
        <v>210</v>
      </c>
    </row>
    <row r="8941" s="3" customFormat="1" ht="18.75" spans="1:5">
      <c r="A8941" s="8" t="str">
        <f t="shared" si="155"/>
        <v>250036</v>
      </c>
      <c r="B8941" s="8" t="str">
        <f>"2561409012609"</f>
        <v>2561409012609</v>
      </c>
      <c r="C8941" s="8" t="s">
        <v>15</v>
      </c>
      <c r="D8941" s="9">
        <v>54.5</v>
      </c>
      <c r="E8941" s="8">
        <v>211</v>
      </c>
    </row>
    <row r="8942" s="3" customFormat="1" ht="18.75" spans="1:5">
      <c r="A8942" s="8" t="str">
        <f t="shared" si="155"/>
        <v>250036</v>
      </c>
      <c r="B8942" s="8" t="str">
        <f>"2561409013330"</f>
        <v>2561409013330</v>
      </c>
      <c r="C8942" s="8" t="s">
        <v>15</v>
      </c>
      <c r="D8942" s="9">
        <v>54.48</v>
      </c>
      <c r="E8942" s="8">
        <v>212</v>
      </c>
    </row>
    <row r="8943" s="3" customFormat="1" ht="18.75" spans="1:5">
      <c r="A8943" s="8" t="str">
        <f t="shared" si="155"/>
        <v>250036</v>
      </c>
      <c r="B8943" s="8" t="str">
        <f>"2561409013714"</f>
        <v>2561409013714</v>
      </c>
      <c r="C8943" s="8" t="s">
        <v>15</v>
      </c>
      <c r="D8943" s="9">
        <v>54.33</v>
      </c>
      <c r="E8943" s="8">
        <v>213</v>
      </c>
    </row>
    <row r="8944" s="3" customFormat="1" ht="18.75" spans="1:5">
      <c r="A8944" s="8" t="str">
        <f t="shared" si="155"/>
        <v>250036</v>
      </c>
      <c r="B8944" s="8" t="str">
        <f>"2561409012509"</f>
        <v>2561409012509</v>
      </c>
      <c r="C8944" s="8" t="s">
        <v>15</v>
      </c>
      <c r="D8944" s="9">
        <v>54.29</v>
      </c>
      <c r="E8944" s="8">
        <v>214</v>
      </c>
    </row>
    <row r="8945" s="3" customFormat="1" ht="18.75" spans="1:5">
      <c r="A8945" s="8" t="str">
        <f t="shared" si="155"/>
        <v>250036</v>
      </c>
      <c r="B8945" s="8" t="str">
        <f>"2561409013904"</f>
        <v>2561409013904</v>
      </c>
      <c r="C8945" s="8" t="s">
        <v>15</v>
      </c>
      <c r="D8945" s="9">
        <v>54.29</v>
      </c>
      <c r="E8945" s="8">
        <v>214</v>
      </c>
    </row>
    <row r="8946" s="3" customFormat="1" ht="18.75" spans="1:5">
      <c r="A8946" s="8" t="str">
        <f t="shared" si="155"/>
        <v>250036</v>
      </c>
      <c r="B8946" s="8" t="str">
        <f>"2561409012204"</f>
        <v>2561409012204</v>
      </c>
      <c r="C8946" s="8" t="s">
        <v>15</v>
      </c>
      <c r="D8946" s="9">
        <v>54.2</v>
      </c>
      <c r="E8946" s="8">
        <v>216</v>
      </c>
    </row>
    <row r="8947" s="3" customFormat="1" ht="18.75" spans="1:5">
      <c r="A8947" s="8" t="str">
        <f t="shared" si="155"/>
        <v>250036</v>
      </c>
      <c r="B8947" s="8" t="str">
        <f>"2561409012104"</f>
        <v>2561409012104</v>
      </c>
      <c r="C8947" s="8" t="s">
        <v>15</v>
      </c>
      <c r="D8947" s="9">
        <v>54.12</v>
      </c>
      <c r="E8947" s="8">
        <v>217</v>
      </c>
    </row>
    <row r="8948" s="3" customFormat="1" ht="18.75" spans="1:5">
      <c r="A8948" s="8" t="str">
        <f t="shared" si="155"/>
        <v>250036</v>
      </c>
      <c r="B8948" s="8" t="str">
        <f>"2561409011814"</f>
        <v>2561409011814</v>
      </c>
      <c r="C8948" s="8" t="s">
        <v>15</v>
      </c>
      <c r="D8948" s="9">
        <v>54.06</v>
      </c>
      <c r="E8948" s="8">
        <v>218</v>
      </c>
    </row>
    <row r="8949" s="3" customFormat="1" ht="18.75" spans="1:5">
      <c r="A8949" s="8" t="str">
        <f t="shared" si="155"/>
        <v>250036</v>
      </c>
      <c r="B8949" s="8" t="str">
        <f>"2561409012713"</f>
        <v>2561409012713</v>
      </c>
      <c r="C8949" s="8" t="s">
        <v>15</v>
      </c>
      <c r="D8949" s="9">
        <v>53.99</v>
      </c>
      <c r="E8949" s="8">
        <v>219</v>
      </c>
    </row>
    <row r="8950" s="3" customFormat="1" ht="18.75" spans="1:5">
      <c r="A8950" s="8" t="str">
        <f t="shared" si="155"/>
        <v>250036</v>
      </c>
      <c r="B8950" s="8" t="str">
        <f>"2561409012530"</f>
        <v>2561409012530</v>
      </c>
      <c r="C8950" s="8" t="s">
        <v>15</v>
      </c>
      <c r="D8950" s="9">
        <v>53.95</v>
      </c>
      <c r="E8950" s="8">
        <v>220</v>
      </c>
    </row>
    <row r="8951" s="3" customFormat="1" ht="18.75" spans="1:5">
      <c r="A8951" s="8" t="str">
        <f t="shared" si="155"/>
        <v>250036</v>
      </c>
      <c r="B8951" s="8" t="str">
        <f>"2561409012003"</f>
        <v>2561409012003</v>
      </c>
      <c r="C8951" s="8" t="s">
        <v>15</v>
      </c>
      <c r="D8951" s="9">
        <v>53.89</v>
      </c>
      <c r="E8951" s="8">
        <v>221</v>
      </c>
    </row>
    <row r="8952" s="3" customFormat="1" ht="18.75" spans="1:5">
      <c r="A8952" s="8" t="str">
        <f t="shared" si="155"/>
        <v>250036</v>
      </c>
      <c r="B8952" s="8" t="str">
        <f>"2561409012428"</f>
        <v>2561409012428</v>
      </c>
      <c r="C8952" s="8" t="s">
        <v>15</v>
      </c>
      <c r="D8952" s="9">
        <v>53.81</v>
      </c>
      <c r="E8952" s="8">
        <v>222</v>
      </c>
    </row>
    <row r="8953" s="3" customFormat="1" ht="18.75" spans="1:5">
      <c r="A8953" s="8" t="str">
        <f t="shared" si="155"/>
        <v>250036</v>
      </c>
      <c r="B8953" s="8" t="str">
        <f>"2561409012016"</f>
        <v>2561409012016</v>
      </c>
      <c r="C8953" s="8" t="s">
        <v>15</v>
      </c>
      <c r="D8953" s="9">
        <v>53.69</v>
      </c>
      <c r="E8953" s="8">
        <v>223</v>
      </c>
    </row>
    <row r="8954" s="3" customFormat="1" ht="18.75" spans="1:5">
      <c r="A8954" s="8" t="str">
        <f t="shared" si="155"/>
        <v>250036</v>
      </c>
      <c r="B8954" s="8" t="str">
        <f>"2561409013617"</f>
        <v>2561409013617</v>
      </c>
      <c r="C8954" s="8" t="s">
        <v>15</v>
      </c>
      <c r="D8954" s="9">
        <v>53.65</v>
      </c>
      <c r="E8954" s="8">
        <v>224</v>
      </c>
    </row>
    <row r="8955" s="3" customFormat="1" ht="18.75" spans="1:5">
      <c r="A8955" s="8" t="str">
        <f t="shared" si="155"/>
        <v>250036</v>
      </c>
      <c r="B8955" s="8" t="str">
        <f>"2561409011906"</f>
        <v>2561409011906</v>
      </c>
      <c r="C8955" s="8" t="s">
        <v>15</v>
      </c>
      <c r="D8955" s="9">
        <v>53.59</v>
      </c>
      <c r="E8955" s="8">
        <v>225</v>
      </c>
    </row>
    <row r="8956" s="3" customFormat="1" ht="18.75" spans="1:5">
      <c r="A8956" s="8" t="str">
        <f t="shared" si="155"/>
        <v>250036</v>
      </c>
      <c r="B8956" s="8" t="str">
        <f>"2561409013313"</f>
        <v>2561409013313</v>
      </c>
      <c r="C8956" s="8" t="s">
        <v>15</v>
      </c>
      <c r="D8956" s="9">
        <v>53.55</v>
      </c>
      <c r="E8956" s="8">
        <v>226</v>
      </c>
    </row>
    <row r="8957" s="3" customFormat="1" ht="18.75" spans="1:5">
      <c r="A8957" s="8" t="str">
        <f t="shared" si="155"/>
        <v>250036</v>
      </c>
      <c r="B8957" s="8" t="str">
        <f>"2561409012313"</f>
        <v>2561409012313</v>
      </c>
      <c r="C8957" s="8" t="s">
        <v>15</v>
      </c>
      <c r="D8957" s="9">
        <v>53.43</v>
      </c>
      <c r="E8957" s="8">
        <v>227</v>
      </c>
    </row>
    <row r="8958" s="3" customFormat="1" ht="18.75" spans="1:5">
      <c r="A8958" s="8" t="str">
        <f t="shared" si="155"/>
        <v>250036</v>
      </c>
      <c r="B8958" s="8" t="str">
        <f>"2561409013614"</f>
        <v>2561409013614</v>
      </c>
      <c r="C8958" s="8" t="s">
        <v>15</v>
      </c>
      <c r="D8958" s="9">
        <v>53.34</v>
      </c>
      <c r="E8958" s="8">
        <v>228</v>
      </c>
    </row>
    <row r="8959" s="3" customFormat="1" ht="18.75" spans="1:5">
      <c r="A8959" s="8" t="str">
        <f t="shared" si="155"/>
        <v>250036</v>
      </c>
      <c r="B8959" s="8" t="str">
        <f>"2561409012311"</f>
        <v>2561409012311</v>
      </c>
      <c r="C8959" s="8" t="s">
        <v>15</v>
      </c>
      <c r="D8959" s="9">
        <v>53.32</v>
      </c>
      <c r="E8959" s="8">
        <v>229</v>
      </c>
    </row>
    <row r="8960" s="3" customFormat="1" ht="18.75" spans="1:5">
      <c r="A8960" s="8" t="str">
        <f t="shared" si="155"/>
        <v>250036</v>
      </c>
      <c r="B8960" s="8" t="str">
        <f>"2561409012717"</f>
        <v>2561409012717</v>
      </c>
      <c r="C8960" s="8" t="s">
        <v>15</v>
      </c>
      <c r="D8960" s="9">
        <v>53.32</v>
      </c>
      <c r="E8960" s="8">
        <v>229</v>
      </c>
    </row>
    <row r="8961" s="3" customFormat="1" ht="18.75" spans="1:5">
      <c r="A8961" s="8" t="str">
        <f t="shared" si="155"/>
        <v>250036</v>
      </c>
      <c r="B8961" s="8" t="str">
        <f>"2561409012915"</f>
        <v>2561409012915</v>
      </c>
      <c r="C8961" s="8" t="s">
        <v>15</v>
      </c>
      <c r="D8961" s="9">
        <v>53.29</v>
      </c>
      <c r="E8961" s="8">
        <v>231</v>
      </c>
    </row>
    <row r="8962" s="3" customFormat="1" ht="18.75" spans="1:5">
      <c r="A8962" s="8" t="str">
        <f t="shared" si="155"/>
        <v>250036</v>
      </c>
      <c r="B8962" s="8" t="str">
        <f>"2561409013023"</f>
        <v>2561409013023</v>
      </c>
      <c r="C8962" s="8" t="s">
        <v>15</v>
      </c>
      <c r="D8962" s="9">
        <v>53.27</v>
      </c>
      <c r="E8962" s="8">
        <v>232</v>
      </c>
    </row>
    <row r="8963" s="3" customFormat="1" ht="18.75" spans="1:5">
      <c r="A8963" s="8" t="str">
        <f t="shared" si="155"/>
        <v>250036</v>
      </c>
      <c r="B8963" s="8" t="str">
        <f>"2561409012011"</f>
        <v>2561409012011</v>
      </c>
      <c r="C8963" s="8" t="s">
        <v>15</v>
      </c>
      <c r="D8963" s="9">
        <v>53.25</v>
      </c>
      <c r="E8963" s="8">
        <v>233</v>
      </c>
    </row>
    <row r="8964" s="3" customFormat="1" ht="18.75" spans="1:5">
      <c r="A8964" s="8" t="str">
        <f t="shared" si="155"/>
        <v>250036</v>
      </c>
      <c r="B8964" s="8" t="str">
        <f>"2561409013725"</f>
        <v>2561409013725</v>
      </c>
      <c r="C8964" s="8" t="s">
        <v>15</v>
      </c>
      <c r="D8964" s="9">
        <v>53.25</v>
      </c>
      <c r="E8964" s="8">
        <v>233</v>
      </c>
    </row>
    <row r="8965" s="3" customFormat="1" ht="18.75" spans="1:5">
      <c r="A8965" s="8" t="str">
        <f t="shared" si="155"/>
        <v>250036</v>
      </c>
      <c r="B8965" s="8" t="str">
        <f>"2561409012413"</f>
        <v>2561409012413</v>
      </c>
      <c r="C8965" s="8" t="s">
        <v>15</v>
      </c>
      <c r="D8965" s="9">
        <v>53.21</v>
      </c>
      <c r="E8965" s="8">
        <v>235</v>
      </c>
    </row>
    <row r="8966" s="3" customFormat="1" ht="18.75" spans="1:5">
      <c r="A8966" s="8" t="str">
        <f t="shared" si="155"/>
        <v>250036</v>
      </c>
      <c r="B8966" s="8" t="str">
        <f>"2561409013722"</f>
        <v>2561409013722</v>
      </c>
      <c r="C8966" s="8" t="s">
        <v>15</v>
      </c>
      <c r="D8966" s="9">
        <v>53.18</v>
      </c>
      <c r="E8966" s="8">
        <v>236</v>
      </c>
    </row>
    <row r="8967" s="3" customFormat="1" ht="18.75" spans="1:5">
      <c r="A8967" s="8" t="str">
        <f t="shared" si="155"/>
        <v>250036</v>
      </c>
      <c r="B8967" s="8" t="str">
        <f>"2561409013709"</f>
        <v>2561409013709</v>
      </c>
      <c r="C8967" s="8" t="s">
        <v>15</v>
      </c>
      <c r="D8967" s="9">
        <v>53.11</v>
      </c>
      <c r="E8967" s="8">
        <v>237</v>
      </c>
    </row>
    <row r="8968" s="3" customFormat="1" ht="18.75" spans="1:5">
      <c r="A8968" s="8" t="str">
        <f t="shared" si="155"/>
        <v>250036</v>
      </c>
      <c r="B8968" s="8" t="str">
        <f>"2561409013423"</f>
        <v>2561409013423</v>
      </c>
      <c r="C8968" s="8" t="s">
        <v>15</v>
      </c>
      <c r="D8968" s="9">
        <v>53.05</v>
      </c>
      <c r="E8968" s="8">
        <v>238</v>
      </c>
    </row>
    <row r="8969" s="3" customFormat="1" ht="18.75" spans="1:5">
      <c r="A8969" s="8" t="str">
        <f t="shared" si="155"/>
        <v>250036</v>
      </c>
      <c r="B8969" s="8" t="str">
        <f>"2561409011928"</f>
        <v>2561409011928</v>
      </c>
      <c r="C8969" s="8" t="s">
        <v>15</v>
      </c>
      <c r="D8969" s="9">
        <v>52.95</v>
      </c>
      <c r="E8969" s="8">
        <v>239</v>
      </c>
    </row>
    <row r="8970" s="3" customFormat="1" ht="18.75" spans="1:5">
      <c r="A8970" s="8" t="str">
        <f t="shared" si="155"/>
        <v>250036</v>
      </c>
      <c r="B8970" s="8" t="str">
        <f>"2561409012805"</f>
        <v>2561409012805</v>
      </c>
      <c r="C8970" s="8" t="s">
        <v>15</v>
      </c>
      <c r="D8970" s="9">
        <v>52.94</v>
      </c>
      <c r="E8970" s="8">
        <v>240</v>
      </c>
    </row>
    <row r="8971" s="3" customFormat="1" ht="18.75" spans="1:5">
      <c r="A8971" s="8" t="str">
        <f t="shared" si="155"/>
        <v>250036</v>
      </c>
      <c r="B8971" s="8" t="str">
        <f>"2561409013015"</f>
        <v>2561409013015</v>
      </c>
      <c r="C8971" s="8" t="s">
        <v>15</v>
      </c>
      <c r="D8971" s="9">
        <v>52.92</v>
      </c>
      <c r="E8971" s="8">
        <v>241</v>
      </c>
    </row>
    <row r="8972" s="3" customFormat="1" ht="18.75" spans="1:5">
      <c r="A8972" s="8" t="str">
        <f t="shared" si="155"/>
        <v>250036</v>
      </c>
      <c r="B8972" s="8" t="str">
        <f>"2561409012517"</f>
        <v>2561409012517</v>
      </c>
      <c r="C8972" s="8" t="s">
        <v>15</v>
      </c>
      <c r="D8972" s="9">
        <v>52.88</v>
      </c>
      <c r="E8972" s="8">
        <v>242</v>
      </c>
    </row>
    <row r="8973" s="3" customFormat="1" ht="18.75" spans="1:5">
      <c r="A8973" s="8" t="str">
        <f t="shared" si="155"/>
        <v>250036</v>
      </c>
      <c r="B8973" s="8" t="str">
        <f>"2561409012213"</f>
        <v>2561409012213</v>
      </c>
      <c r="C8973" s="8" t="s">
        <v>15</v>
      </c>
      <c r="D8973" s="9">
        <v>52.77</v>
      </c>
      <c r="E8973" s="8">
        <v>243</v>
      </c>
    </row>
    <row r="8974" s="3" customFormat="1" ht="18.75" spans="1:5">
      <c r="A8974" s="8" t="str">
        <f t="shared" si="155"/>
        <v>250036</v>
      </c>
      <c r="B8974" s="8" t="str">
        <f>"2561409012402"</f>
        <v>2561409012402</v>
      </c>
      <c r="C8974" s="8" t="s">
        <v>15</v>
      </c>
      <c r="D8974" s="9">
        <v>52.72</v>
      </c>
      <c r="E8974" s="8">
        <v>244</v>
      </c>
    </row>
    <row r="8975" s="3" customFormat="1" ht="18.75" spans="1:5">
      <c r="A8975" s="8" t="str">
        <f t="shared" si="155"/>
        <v>250036</v>
      </c>
      <c r="B8975" s="8" t="str">
        <f>"2561409012829"</f>
        <v>2561409012829</v>
      </c>
      <c r="C8975" s="8" t="s">
        <v>15</v>
      </c>
      <c r="D8975" s="9">
        <v>52.71</v>
      </c>
      <c r="E8975" s="8">
        <v>245</v>
      </c>
    </row>
    <row r="8976" s="3" customFormat="1" ht="18.75" spans="1:5">
      <c r="A8976" s="8" t="str">
        <f t="shared" si="155"/>
        <v>250036</v>
      </c>
      <c r="B8976" s="8" t="str">
        <f>"2561409012923"</f>
        <v>2561409012923</v>
      </c>
      <c r="C8976" s="8" t="s">
        <v>15</v>
      </c>
      <c r="D8976" s="9">
        <v>52.66</v>
      </c>
      <c r="E8976" s="8">
        <v>246</v>
      </c>
    </row>
    <row r="8977" s="3" customFormat="1" ht="18.75" spans="1:5">
      <c r="A8977" s="8" t="str">
        <f t="shared" si="155"/>
        <v>250036</v>
      </c>
      <c r="B8977" s="8" t="str">
        <f>"2561409013418"</f>
        <v>2561409013418</v>
      </c>
      <c r="C8977" s="8" t="s">
        <v>15</v>
      </c>
      <c r="D8977" s="9">
        <v>52.64</v>
      </c>
      <c r="E8977" s="8">
        <v>247</v>
      </c>
    </row>
    <row r="8978" s="3" customFormat="1" ht="18.75" spans="1:5">
      <c r="A8978" s="8" t="str">
        <f t="shared" si="155"/>
        <v>250036</v>
      </c>
      <c r="B8978" s="8" t="str">
        <f>"2561409012525"</f>
        <v>2561409012525</v>
      </c>
      <c r="C8978" s="8" t="s">
        <v>15</v>
      </c>
      <c r="D8978" s="9">
        <v>52.63</v>
      </c>
      <c r="E8978" s="8">
        <v>248</v>
      </c>
    </row>
    <row r="8979" s="3" customFormat="1" ht="18.75" spans="1:5">
      <c r="A8979" s="8" t="str">
        <f t="shared" si="155"/>
        <v>250036</v>
      </c>
      <c r="B8979" s="8" t="str">
        <f>"2561409012421"</f>
        <v>2561409012421</v>
      </c>
      <c r="C8979" s="8" t="s">
        <v>15</v>
      </c>
      <c r="D8979" s="9">
        <v>52.58</v>
      </c>
      <c r="E8979" s="8">
        <v>249</v>
      </c>
    </row>
    <row r="8980" s="3" customFormat="1" ht="18.75" spans="1:5">
      <c r="A8980" s="8" t="str">
        <f t="shared" si="155"/>
        <v>250036</v>
      </c>
      <c r="B8980" s="8" t="str">
        <f>"2561409013801"</f>
        <v>2561409013801</v>
      </c>
      <c r="C8980" s="8" t="s">
        <v>15</v>
      </c>
      <c r="D8980" s="9">
        <v>52.52</v>
      </c>
      <c r="E8980" s="8">
        <v>250</v>
      </c>
    </row>
    <row r="8981" s="3" customFormat="1" ht="18.75" spans="1:5">
      <c r="A8981" s="8" t="str">
        <f t="shared" si="155"/>
        <v>250036</v>
      </c>
      <c r="B8981" s="8" t="str">
        <f>"2561409012101"</f>
        <v>2561409012101</v>
      </c>
      <c r="C8981" s="8" t="s">
        <v>15</v>
      </c>
      <c r="D8981" s="9">
        <v>52.51</v>
      </c>
      <c r="E8981" s="8">
        <v>251</v>
      </c>
    </row>
    <row r="8982" s="3" customFormat="1" ht="18.75" spans="1:5">
      <c r="A8982" s="8" t="str">
        <f t="shared" si="155"/>
        <v>250036</v>
      </c>
      <c r="B8982" s="8" t="str">
        <f>"2561409013329"</f>
        <v>2561409013329</v>
      </c>
      <c r="C8982" s="8" t="s">
        <v>15</v>
      </c>
      <c r="D8982" s="9">
        <v>52.5</v>
      </c>
      <c r="E8982" s="8">
        <v>252</v>
      </c>
    </row>
    <row r="8983" s="3" customFormat="1" ht="18.75" spans="1:5">
      <c r="A8983" s="8" t="str">
        <f t="shared" si="155"/>
        <v>250036</v>
      </c>
      <c r="B8983" s="8" t="str">
        <f>"2561409013005"</f>
        <v>2561409013005</v>
      </c>
      <c r="C8983" s="8" t="s">
        <v>15</v>
      </c>
      <c r="D8983" s="9">
        <v>52.45</v>
      </c>
      <c r="E8983" s="8">
        <v>253</v>
      </c>
    </row>
    <row r="8984" s="3" customFormat="1" ht="18.75" spans="1:5">
      <c r="A8984" s="8" t="str">
        <f t="shared" si="155"/>
        <v>250036</v>
      </c>
      <c r="B8984" s="8" t="str">
        <f>"2561409012222"</f>
        <v>2561409012222</v>
      </c>
      <c r="C8984" s="8" t="s">
        <v>15</v>
      </c>
      <c r="D8984" s="9">
        <v>52.41</v>
      </c>
      <c r="E8984" s="8">
        <v>254</v>
      </c>
    </row>
    <row r="8985" s="3" customFormat="1" ht="18.75" spans="1:5">
      <c r="A8985" s="8" t="str">
        <f t="shared" si="155"/>
        <v>250036</v>
      </c>
      <c r="B8985" s="8" t="str">
        <f>"2561409012124"</f>
        <v>2561409012124</v>
      </c>
      <c r="C8985" s="8" t="s">
        <v>15</v>
      </c>
      <c r="D8985" s="9">
        <v>52.3</v>
      </c>
      <c r="E8985" s="8">
        <v>255</v>
      </c>
    </row>
    <row r="8986" s="3" customFormat="1" ht="18.75" spans="1:5">
      <c r="A8986" s="8" t="str">
        <f t="shared" si="155"/>
        <v>250036</v>
      </c>
      <c r="B8986" s="8" t="str">
        <f>"2561409012230"</f>
        <v>2561409012230</v>
      </c>
      <c r="C8986" s="8" t="s">
        <v>15</v>
      </c>
      <c r="D8986" s="9">
        <v>52.22</v>
      </c>
      <c r="E8986" s="8">
        <v>256</v>
      </c>
    </row>
    <row r="8987" s="3" customFormat="1" ht="18.75" spans="1:5">
      <c r="A8987" s="8" t="str">
        <f t="shared" ref="A8987:A9050" si="156">"250036"</f>
        <v>250036</v>
      </c>
      <c r="B8987" s="8" t="str">
        <f>"2561409011801"</f>
        <v>2561409011801</v>
      </c>
      <c r="C8987" s="8" t="s">
        <v>15</v>
      </c>
      <c r="D8987" s="9">
        <v>52.12</v>
      </c>
      <c r="E8987" s="8">
        <v>257</v>
      </c>
    </row>
    <row r="8988" s="3" customFormat="1" ht="18.75" spans="1:5">
      <c r="A8988" s="8" t="str">
        <f t="shared" si="156"/>
        <v>250036</v>
      </c>
      <c r="B8988" s="8" t="str">
        <f>"2561409013424"</f>
        <v>2561409013424</v>
      </c>
      <c r="C8988" s="8" t="s">
        <v>15</v>
      </c>
      <c r="D8988" s="9">
        <v>51.98</v>
      </c>
      <c r="E8988" s="8">
        <v>258</v>
      </c>
    </row>
    <row r="8989" s="3" customFormat="1" ht="18.75" spans="1:5">
      <c r="A8989" s="8" t="str">
        <f t="shared" si="156"/>
        <v>250036</v>
      </c>
      <c r="B8989" s="8" t="str">
        <f>"2561409012613"</f>
        <v>2561409012613</v>
      </c>
      <c r="C8989" s="8" t="s">
        <v>15</v>
      </c>
      <c r="D8989" s="9">
        <v>51.92</v>
      </c>
      <c r="E8989" s="8">
        <v>259</v>
      </c>
    </row>
    <row r="8990" s="3" customFormat="1" ht="18.75" spans="1:5">
      <c r="A8990" s="8" t="str">
        <f t="shared" si="156"/>
        <v>250036</v>
      </c>
      <c r="B8990" s="8" t="str">
        <f>"2561409013021"</f>
        <v>2561409013021</v>
      </c>
      <c r="C8990" s="8" t="s">
        <v>15</v>
      </c>
      <c r="D8990" s="9">
        <v>51.92</v>
      </c>
      <c r="E8990" s="8">
        <v>259</v>
      </c>
    </row>
    <row r="8991" s="3" customFormat="1" ht="18.75" spans="1:5">
      <c r="A8991" s="8" t="str">
        <f t="shared" si="156"/>
        <v>250036</v>
      </c>
      <c r="B8991" s="8" t="str">
        <f>"2561409012107"</f>
        <v>2561409012107</v>
      </c>
      <c r="C8991" s="8" t="s">
        <v>15</v>
      </c>
      <c r="D8991" s="9">
        <v>51.84</v>
      </c>
      <c r="E8991" s="8">
        <v>261</v>
      </c>
    </row>
    <row r="8992" s="3" customFormat="1" ht="18.75" spans="1:5">
      <c r="A8992" s="8" t="str">
        <f t="shared" si="156"/>
        <v>250036</v>
      </c>
      <c r="B8992" s="8" t="str">
        <f>"2561409012130"</f>
        <v>2561409012130</v>
      </c>
      <c r="C8992" s="8" t="s">
        <v>15</v>
      </c>
      <c r="D8992" s="9">
        <v>51.81</v>
      </c>
      <c r="E8992" s="8">
        <v>262</v>
      </c>
    </row>
    <row r="8993" s="3" customFormat="1" ht="18.75" spans="1:5">
      <c r="A8993" s="8" t="str">
        <f t="shared" si="156"/>
        <v>250036</v>
      </c>
      <c r="B8993" s="8" t="str">
        <f>"2561409012816"</f>
        <v>2561409012816</v>
      </c>
      <c r="C8993" s="8" t="s">
        <v>15</v>
      </c>
      <c r="D8993" s="9">
        <v>51.74</v>
      </c>
      <c r="E8993" s="8">
        <v>263</v>
      </c>
    </row>
    <row r="8994" s="3" customFormat="1" ht="18.75" spans="1:5">
      <c r="A8994" s="8" t="str">
        <f t="shared" si="156"/>
        <v>250036</v>
      </c>
      <c r="B8994" s="8" t="str">
        <f>"2561409013129"</f>
        <v>2561409013129</v>
      </c>
      <c r="C8994" s="8" t="s">
        <v>15</v>
      </c>
      <c r="D8994" s="9">
        <v>51.72</v>
      </c>
      <c r="E8994" s="8">
        <v>264</v>
      </c>
    </row>
    <row r="8995" s="3" customFormat="1" ht="18.75" spans="1:5">
      <c r="A8995" s="8" t="str">
        <f t="shared" si="156"/>
        <v>250036</v>
      </c>
      <c r="B8995" s="8" t="str">
        <f>"2561409013810"</f>
        <v>2561409013810</v>
      </c>
      <c r="C8995" s="8" t="s">
        <v>15</v>
      </c>
      <c r="D8995" s="9">
        <v>51.71</v>
      </c>
      <c r="E8995" s="8">
        <v>265</v>
      </c>
    </row>
    <row r="8996" s="3" customFormat="1" ht="18.75" spans="1:5">
      <c r="A8996" s="8" t="str">
        <f t="shared" si="156"/>
        <v>250036</v>
      </c>
      <c r="B8996" s="8" t="str">
        <f>"2561409012002"</f>
        <v>2561409012002</v>
      </c>
      <c r="C8996" s="8" t="s">
        <v>15</v>
      </c>
      <c r="D8996" s="9">
        <v>51.69</v>
      </c>
      <c r="E8996" s="8">
        <v>266</v>
      </c>
    </row>
    <row r="8997" s="3" customFormat="1" ht="18.75" spans="1:5">
      <c r="A8997" s="8" t="str">
        <f t="shared" si="156"/>
        <v>250036</v>
      </c>
      <c r="B8997" s="8" t="str">
        <f>"2561409011904"</f>
        <v>2561409011904</v>
      </c>
      <c r="C8997" s="8" t="s">
        <v>15</v>
      </c>
      <c r="D8997" s="9">
        <v>51.67</v>
      </c>
      <c r="E8997" s="8">
        <v>267</v>
      </c>
    </row>
    <row r="8998" s="3" customFormat="1" ht="18.75" spans="1:5">
      <c r="A8998" s="8" t="str">
        <f t="shared" si="156"/>
        <v>250036</v>
      </c>
      <c r="B8998" s="8" t="str">
        <f>"2561409013728"</f>
        <v>2561409013728</v>
      </c>
      <c r="C8998" s="8" t="s">
        <v>15</v>
      </c>
      <c r="D8998" s="9">
        <v>51.65</v>
      </c>
      <c r="E8998" s="8">
        <v>268</v>
      </c>
    </row>
    <row r="8999" s="3" customFormat="1" ht="18.75" spans="1:5">
      <c r="A8999" s="8" t="str">
        <f t="shared" si="156"/>
        <v>250036</v>
      </c>
      <c r="B8999" s="8" t="str">
        <f>"2561409013311"</f>
        <v>2561409013311</v>
      </c>
      <c r="C8999" s="8" t="s">
        <v>15</v>
      </c>
      <c r="D8999" s="9">
        <v>51.61</v>
      </c>
      <c r="E8999" s="8">
        <v>269</v>
      </c>
    </row>
    <row r="9000" s="3" customFormat="1" ht="18.75" spans="1:5">
      <c r="A9000" s="8" t="str">
        <f t="shared" si="156"/>
        <v>250036</v>
      </c>
      <c r="B9000" s="8" t="str">
        <f>"2561409013704"</f>
        <v>2561409013704</v>
      </c>
      <c r="C9000" s="8" t="s">
        <v>15</v>
      </c>
      <c r="D9000" s="9">
        <v>51.56</v>
      </c>
      <c r="E9000" s="8">
        <v>270</v>
      </c>
    </row>
    <row r="9001" s="3" customFormat="1" ht="18.75" spans="1:5">
      <c r="A9001" s="8" t="str">
        <f t="shared" si="156"/>
        <v>250036</v>
      </c>
      <c r="B9001" s="8" t="str">
        <f>"2561409013108"</f>
        <v>2561409013108</v>
      </c>
      <c r="C9001" s="8" t="s">
        <v>15</v>
      </c>
      <c r="D9001" s="9">
        <v>51.48</v>
      </c>
      <c r="E9001" s="8">
        <v>271</v>
      </c>
    </row>
    <row r="9002" s="3" customFormat="1" ht="18.75" spans="1:5">
      <c r="A9002" s="8" t="str">
        <f t="shared" si="156"/>
        <v>250036</v>
      </c>
      <c r="B9002" s="8" t="str">
        <f>"2561409013907"</f>
        <v>2561409013907</v>
      </c>
      <c r="C9002" s="8" t="s">
        <v>15</v>
      </c>
      <c r="D9002" s="9">
        <v>51.36</v>
      </c>
      <c r="E9002" s="8">
        <v>272</v>
      </c>
    </row>
    <row r="9003" s="3" customFormat="1" ht="18.75" spans="1:5">
      <c r="A9003" s="8" t="str">
        <f t="shared" si="156"/>
        <v>250036</v>
      </c>
      <c r="B9003" s="8" t="str">
        <f>"2561409013010"</f>
        <v>2561409013010</v>
      </c>
      <c r="C9003" s="8" t="s">
        <v>15</v>
      </c>
      <c r="D9003" s="9">
        <v>51.09</v>
      </c>
      <c r="E9003" s="8">
        <v>273</v>
      </c>
    </row>
    <row r="9004" s="3" customFormat="1" ht="18.75" spans="1:5">
      <c r="A9004" s="8" t="str">
        <f t="shared" si="156"/>
        <v>250036</v>
      </c>
      <c r="B9004" s="8" t="str">
        <f>"2561409012304"</f>
        <v>2561409012304</v>
      </c>
      <c r="C9004" s="8" t="s">
        <v>15</v>
      </c>
      <c r="D9004" s="9">
        <v>51.08</v>
      </c>
      <c r="E9004" s="8">
        <v>274</v>
      </c>
    </row>
    <row r="9005" s="3" customFormat="1" ht="18.75" spans="1:5">
      <c r="A9005" s="8" t="str">
        <f t="shared" si="156"/>
        <v>250036</v>
      </c>
      <c r="B9005" s="8" t="str">
        <f>"2561409013112"</f>
        <v>2561409013112</v>
      </c>
      <c r="C9005" s="8" t="s">
        <v>15</v>
      </c>
      <c r="D9005" s="9">
        <v>51.04</v>
      </c>
      <c r="E9005" s="8">
        <v>275</v>
      </c>
    </row>
    <row r="9006" s="3" customFormat="1" ht="18.75" spans="1:5">
      <c r="A9006" s="8" t="str">
        <f t="shared" si="156"/>
        <v>250036</v>
      </c>
      <c r="B9006" s="8" t="str">
        <f>"2561409012126"</f>
        <v>2561409012126</v>
      </c>
      <c r="C9006" s="8" t="s">
        <v>15</v>
      </c>
      <c r="D9006" s="9">
        <v>51.03</v>
      </c>
      <c r="E9006" s="8">
        <v>276</v>
      </c>
    </row>
    <row r="9007" s="3" customFormat="1" ht="18.75" spans="1:5">
      <c r="A9007" s="8" t="str">
        <f t="shared" si="156"/>
        <v>250036</v>
      </c>
      <c r="B9007" s="8" t="str">
        <f>"2561409012307"</f>
        <v>2561409012307</v>
      </c>
      <c r="C9007" s="8" t="s">
        <v>15</v>
      </c>
      <c r="D9007" s="9">
        <v>51.02</v>
      </c>
      <c r="E9007" s="8">
        <v>277</v>
      </c>
    </row>
    <row r="9008" s="3" customFormat="1" ht="18.75" spans="1:5">
      <c r="A9008" s="8" t="str">
        <f t="shared" si="156"/>
        <v>250036</v>
      </c>
      <c r="B9008" s="8" t="str">
        <f>"2561409013013"</f>
        <v>2561409013013</v>
      </c>
      <c r="C9008" s="8" t="s">
        <v>15</v>
      </c>
      <c r="D9008" s="9">
        <v>50.97</v>
      </c>
      <c r="E9008" s="8">
        <v>278</v>
      </c>
    </row>
    <row r="9009" s="3" customFormat="1" ht="18.75" spans="1:5">
      <c r="A9009" s="8" t="str">
        <f t="shared" si="156"/>
        <v>250036</v>
      </c>
      <c r="B9009" s="8" t="str">
        <f>"2561409013707"</f>
        <v>2561409013707</v>
      </c>
      <c r="C9009" s="8" t="s">
        <v>15</v>
      </c>
      <c r="D9009" s="9">
        <v>50.9</v>
      </c>
      <c r="E9009" s="8">
        <v>279</v>
      </c>
    </row>
    <row r="9010" s="3" customFormat="1" ht="18.75" spans="1:5">
      <c r="A9010" s="8" t="str">
        <f t="shared" si="156"/>
        <v>250036</v>
      </c>
      <c r="B9010" s="8" t="str">
        <f>"2561409012704"</f>
        <v>2561409012704</v>
      </c>
      <c r="C9010" s="8" t="s">
        <v>15</v>
      </c>
      <c r="D9010" s="9">
        <v>50.88</v>
      </c>
      <c r="E9010" s="8">
        <v>280</v>
      </c>
    </row>
    <row r="9011" s="3" customFormat="1" ht="18.75" spans="1:5">
      <c r="A9011" s="8" t="str">
        <f t="shared" si="156"/>
        <v>250036</v>
      </c>
      <c r="B9011" s="8" t="str">
        <f>"2561409012930"</f>
        <v>2561409012930</v>
      </c>
      <c r="C9011" s="8" t="s">
        <v>15</v>
      </c>
      <c r="D9011" s="9">
        <v>50.88</v>
      </c>
      <c r="E9011" s="8">
        <v>280</v>
      </c>
    </row>
    <row r="9012" s="3" customFormat="1" ht="18.75" spans="1:5">
      <c r="A9012" s="8" t="str">
        <f t="shared" si="156"/>
        <v>250036</v>
      </c>
      <c r="B9012" s="8" t="str">
        <f>"2561409013405"</f>
        <v>2561409013405</v>
      </c>
      <c r="C9012" s="8" t="s">
        <v>15</v>
      </c>
      <c r="D9012" s="9">
        <v>50.79</v>
      </c>
      <c r="E9012" s="8">
        <v>282</v>
      </c>
    </row>
    <row r="9013" s="3" customFormat="1" ht="18.75" spans="1:5">
      <c r="A9013" s="8" t="str">
        <f t="shared" si="156"/>
        <v>250036</v>
      </c>
      <c r="B9013" s="8" t="str">
        <f>"2561409011915"</f>
        <v>2561409011915</v>
      </c>
      <c r="C9013" s="8" t="s">
        <v>15</v>
      </c>
      <c r="D9013" s="9">
        <v>50.77</v>
      </c>
      <c r="E9013" s="8">
        <v>283</v>
      </c>
    </row>
    <row r="9014" s="3" customFormat="1" ht="18.75" spans="1:5">
      <c r="A9014" s="8" t="str">
        <f t="shared" si="156"/>
        <v>250036</v>
      </c>
      <c r="B9014" s="8" t="str">
        <f>"2561409013205"</f>
        <v>2561409013205</v>
      </c>
      <c r="C9014" s="8" t="s">
        <v>15</v>
      </c>
      <c r="D9014" s="9">
        <v>50.67</v>
      </c>
      <c r="E9014" s="8">
        <v>284</v>
      </c>
    </row>
    <row r="9015" s="3" customFormat="1" ht="18.75" spans="1:5">
      <c r="A9015" s="8" t="str">
        <f t="shared" si="156"/>
        <v>250036</v>
      </c>
      <c r="B9015" s="8" t="str">
        <f>"2561409012416"</f>
        <v>2561409012416</v>
      </c>
      <c r="C9015" s="8" t="s">
        <v>15</v>
      </c>
      <c r="D9015" s="9">
        <v>50.59</v>
      </c>
      <c r="E9015" s="8">
        <v>285</v>
      </c>
    </row>
    <row r="9016" s="3" customFormat="1" ht="18.75" spans="1:5">
      <c r="A9016" s="8" t="str">
        <f t="shared" si="156"/>
        <v>250036</v>
      </c>
      <c r="B9016" s="8" t="str">
        <f>"2561409012014"</f>
        <v>2561409012014</v>
      </c>
      <c r="C9016" s="8" t="s">
        <v>15</v>
      </c>
      <c r="D9016" s="9">
        <v>50.56</v>
      </c>
      <c r="E9016" s="8">
        <v>286</v>
      </c>
    </row>
    <row r="9017" s="3" customFormat="1" ht="18.75" spans="1:5">
      <c r="A9017" s="8" t="str">
        <f t="shared" si="156"/>
        <v>250036</v>
      </c>
      <c r="B9017" s="8" t="str">
        <f>"2561409011819"</f>
        <v>2561409011819</v>
      </c>
      <c r="C9017" s="8" t="s">
        <v>15</v>
      </c>
      <c r="D9017" s="9">
        <v>50.52</v>
      </c>
      <c r="E9017" s="8">
        <v>287</v>
      </c>
    </row>
    <row r="9018" s="3" customFormat="1" ht="18.75" spans="1:5">
      <c r="A9018" s="8" t="str">
        <f t="shared" si="156"/>
        <v>250036</v>
      </c>
      <c r="B9018" s="8" t="str">
        <f>"2561409012721"</f>
        <v>2561409012721</v>
      </c>
      <c r="C9018" s="8" t="s">
        <v>15</v>
      </c>
      <c r="D9018" s="9">
        <v>50.38</v>
      </c>
      <c r="E9018" s="8">
        <v>288</v>
      </c>
    </row>
    <row r="9019" s="3" customFormat="1" ht="18.75" spans="1:5">
      <c r="A9019" s="8" t="str">
        <f t="shared" si="156"/>
        <v>250036</v>
      </c>
      <c r="B9019" s="8" t="str">
        <f>"2561409012404"</f>
        <v>2561409012404</v>
      </c>
      <c r="C9019" s="8" t="s">
        <v>15</v>
      </c>
      <c r="D9019" s="9">
        <v>50.36</v>
      </c>
      <c r="E9019" s="8">
        <v>289</v>
      </c>
    </row>
    <row r="9020" s="3" customFormat="1" ht="18.75" spans="1:5">
      <c r="A9020" s="8" t="str">
        <f t="shared" si="156"/>
        <v>250036</v>
      </c>
      <c r="B9020" s="8" t="str">
        <f>"2561409012604"</f>
        <v>2561409012604</v>
      </c>
      <c r="C9020" s="8" t="s">
        <v>15</v>
      </c>
      <c r="D9020" s="9">
        <v>50.36</v>
      </c>
      <c r="E9020" s="8">
        <v>289</v>
      </c>
    </row>
    <row r="9021" s="3" customFormat="1" ht="18.75" spans="1:5">
      <c r="A9021" s="8" t="str">
        <f t="shared" si="156"/>
        <v>250036</v>
      </c>
      <c r="B9021" s="8" t="str">
        <f>"2561409013123"</f>
        <v>2561409013123</v>
      </c>
      <c r="C9021" s="8" t="s">
        <v>15</v>
      </c>
      <c r="D9021" s="9">
        <v>50.23</v>
      </c>
      <c r="E9021" s="8">
        <v>291</v>
      </c>
    </row>
    <row r="9022" s="3" customFormat="1" ht="18.75" spans="1:5">
      <c r="A9022" s="8" t="str">
        <f t="shared" si="156"/>
        <v>250036</v>
      </c>
      <c r="B9022" s="8" t="str">
        <f>"2561409012603"</f>
        <v>2561409012603</v>
      </c>
      <c r="C9022" s="8" t="s">
        <v>15</v>
      </c>
      <c r="D9022" s="9">
        <v>50.15</v>
      </c>
      <c r="E9022" s="8">
        <v>292</v>
      </c>
    </row>
    <row r="9023" s="3" customFormat="1" ht="18.75" spans="1:5">
      <c r="A9023" s="8" t="str">
        <f t="shared" si="156"/>
        <v>250036</v>
      </c>
      <c r="B9023" s="8" t="str">
        <f>"2561409012728"</f>
        <v>2561409012728</v>
      </c>
      <c r="C9023" s="8" t="s">
        <v>15</v>
      </c>
      <c r="D9023" s="9">
        <v>50.15</v>
      </c>
      <c r="E9023" s="8">
        <v>292</v>
      </c>
    </row>
    <row r="9024" s="3" customFormat="1" ht="18.75" spans="1:5">
      <c r="A9024" s="8" t="str">
        <f t="shared" si="156"/>
        <v>250036</v>
      </c>
      <c r="B9024" s="8" t="str">
        <f>"2561409013222"</f>
        <v>2561409013222</v>
      </c>
      <c r="C9024" s="8" t="s">
        <v>15</v>
      </c>
      <c r="D9024" s="9">
        <v>50.13</v>
      </c>
      <c r="E9024" s="8">
        <v>294</v>
      </c>
    </row>
    <row r="9025" s="3" customFormat="1" ht="18.75" spans="1:5">
      <c r="A9025" s="8" t="str">
        <f t="shared" si="156"/>
        <v>250036</v>
      </c>
      <c r="B9025" s="8" t="str">
        <f>"2561409013706"</f>
        <v>2561409013706</v>
      </c>
      <c r="C9025" s="8" t="s">
        <v>15</v>
      </c>
      <c r="D9025" s="9">
        <v>50.12</v>
      </c>
      <c r="E9025" s="8">
        <v>295</v>
      </c>
    </row>
    <row r="9026" s="3" customFormat="1" ht="18.75" spans="1:5">
      <c r="A9026" s="8" t="str">
        <f t="shared" si="156"/>
        <v>250036</v>
      </c>
      <c r="B9026" s="8" t="str">
        <f>"2561409013829"</f>
        <v>2561409013829</v>
      </c>
      <c r="C9026" s="8" t="s">
        <v>15</v>
      </c>
      <c r="D9026" s="9">
        <v>50.12</v>
      </c>
      <c r="E9026" s="8">
        <v>295</v>
      </c>
    </row>
    <row r="9027" s="3" customFormat="1" ht="18.75" spans="1:5">
      <c r="A9027" s="8" t="str">
        <f t="shared" si="156"/>
        <v>250036</v>
      </c>
      <c r="B9027" s="8" t="str">
        <f>"2561409013520"</f>
        <v>2561409013520</v>
      </c>
      <c r="C9027" s="8" t="s">
        <v>15</v>
      </c>
      <c r="D9027" s="9">
        <v>50.09</v>
      </c>
      <c r="E9027" s="8">
        <v>297</v>
      </c>
    </row>
    <row r="9028" s="3" customFormat="1" ht="18.75" spans="1:5">
      <c r="A9028" s="8" t="str">
        <f t="shared" si="156"/>
        <v>250036</v>
      </c>
      <c r="B9028" s="8" t="str">
        <f>"2561409011913"</f>
        <v>2561409011913</v>
      </c>
      <c r="C9028" s="8" t="s">
        <v>15</v>
      </c>
      <c r="D9028" s="9">
        <v>50.03</v>
      </c>
      <c r="E9028" s="8">
        <v>298</v>
      </c>
    </row>
    <row r="9029" s="3" customFormat="1" ht="18.75" spans="1:5">
      <c r="A9029" s="8" t="str">
        <f t="shared" si="156"/>
        <v>250036</v>
      </c>
      <c r="B9029" s="8" t="str">
        <f>"2561409012210"</f>
        <v>2561409012210</v>
      </c>
      <c r="C9029" s="8" t="s">
        <v>15</v>
      </c>
      <c r="D9029" s="9">
        <v>49.99</v>
      </c>
      <c r="E9029" s="8">
        <v>299</v>
      </c>
    </row>
    <row r="9030" s="3" customFormat="1" ht="18.75" spans="1:5">
      <c r="A9030" s="8" t="str">
        <f t="shared" si="156"/>
        <v>250036</v>
      </c>
      <c r="B9030" s="8" t="str">
        <f>"2561409013113"</f>
        <v>2561409013113</v>
      </c>
      <c r="C9030" s="8" t="s">
        <v>15</v>
      </c>
      <c r="D9030" s="9">
        <v>49.97</v>
      </c>
      <c r="E9030" s="8">
        <v>300</v>
      </c>
    </row>
    <row r="9031" s="3" customFormat="1" ht="18.75" spans="1:5">
      <c r="A9031" s="8" t="str">
        <f t="shared" si="156"/>
        <v>250036</v>
      </c>
      <c r="B9031" s="8" t="str">
        <f>"2561409012627"</f>
        <v>2561409012627</v>
      </c>
      <c r="C9031" s="8" t="s">
        <v>15</v>
      </c>
      <c r="D9031" s="9">
        <v>49.96</v>
      </c>
      <c r="E9031" s="8">
        <v>301</v>
      </c>
    </row>
    <row r="9032" s="3" customFormat="1" ht="18.75" spans="1:5">
      <c r="A9032" s="8" t="str">
        <f t="shared" si="156"/>
        <v>250036</v>
      </c>
      <c r="B9032" s="8" t="str">
        <f>"2561409013713"</f>
        <v>2561409013713</v>
      </c>
      <c r="C9032" s="8" t="s">
        <v>15</v>
      </c>
      <c r="D9032" s="9">
        <v>49.91</v>
      </c>
      <c r="E9032" s="8">
        <v>302</v>
      </c>
    </row>
    <row r="9033" s="3" customFormat="1" ht="18.75" spans="1:5">
      <c r="A9033" s="8" t="str">
        <f t="shared" si="156"/>
        <v>250036</v>
      </c>
      <c r="B9033" s="8" t="str">
        <f>"2561409012725"</f>
        <v>2561409012725</v>
      </c>
      <c r="C9033" s="8" t="s">
        <v>15</v>
      </c>
      <c r="D9033" s="9">
        <v>49.54</v>
      </c>
      <c r="E9033" s="8">
        <v>303</v>
      </c>
    </row>
    <row r="9034" s="3" customFormat="1" ht="18.75" spans="1:5">
      <c r="A9034" s="8" t="str">
        <f t="shared" si="156"/>
        <v>250036</v>
      </c>
      <c r="B9034" s="8" t="str">
        <f>"2561409013712"</f>
        <v>2561409013712</v>
      </c>
      <c r="C9034" s="8" t="s">
        <v>15</v>
      </c>
      <c r="D9034" s="9">
        <v>49.51</v>
      </c>
      <c r="E9034" s="8">
        <v>304</v>
      </c>
    </row>
    <row r="9035" s="3" customFormat="1" ht="18.75" spans="1:5">
      <c r="A9035" s="8" t="str">
        <f t="shared" si="156"/>
        <v>250036</v>
      </c>
      <c r="B9035" s="8" t="str">
        <f>"2561409013902"</f>
        <v>2561409013902</v>
      </c>
      <c r="C9035" s="8" t="s">
        <v>15</v>
      </c>
      <c r="D9035" s="9">
        <v>49.49</v>
      </c>
      <c r="E9035" s="8">
        <v>305</v>
      </c>
    </row>
    <row r="9036" s="3" customFormat="1" ht="18.75" spans="1:5">
      <c r="A9036" s="8" t="str">
        <f t="shared" si="156"/>
        <v>250036</v>
      </c>
      <c r="B9036" s="8" t="str">
        <f>"2561409013607"</f>
        <v>2561409013607</v>
      </c>
      <c r="C9036" s="8" t="s">
        <v>15</v>
      </c>
      <c r="D9036" s="9">
        <v>49.25</v>
      </c>
      <c r="E9036" s="8">
        <v>306</v>
      </c>
    </row>
    <row r="9037" s="3" customFormat="1" ht="18.75" spans="1:5">
      <c r="A9037" s="8" t="str">
        <f t="shared" si="156"/>
        <v>250036</v>
      </c>
      <c r="B9037" s="8" t="str">
        <f>"2561409012025"</f>
        <v>2561409012025</v>
      </c>
      <c r="C9037" s="8" t="s">
        <v>15</v>
      </c>
      <c r="D9037" s="9">
        <v>49.16</v>
      </c>
      <c r="E9037" s="8">
        <v>307</v>
      </c>
    </row>
    <row r="9038" s="3" customFormat="1" ht="18.75" spans="1:5">
      <c r="A9038" s="8" t="str">
        <f t="shared" si="156"/>
        <v>250036</v>
      </c>
      <c r="B9038" s="8" t="str">
        <f>"2561409012701"</f>
        <v>2561409012701</v>
      </c>
      <c r="C9038" s="8" t="s">
        <v>15</v>
      </c>
      <c r="D9038" s="9">
        <v>49.15</v>
      </c>
      <c r="E9038" s="8">
        <v>308</v>
      </c>
    </row>
    <row r="9039" s="3" customFormat="1" ht="18.75" spans="1:5">
      <c r="A9039" s="8" t="str">
        <f t="shared" si="156"/>
        <v>250036</v>
      </c>
      <c r="B9039" s="8" t="str">
        <f>"2561409012006"</f>
        <v>2561409012006</v>
      </c>
      <c r="C9039" s="8" t="s">
        <v>15</v>
      </c>
      <c r="D9039" s="9">
        <v>49.1</v>
      </c>
      <c r="E9039" s="8">
        <v>309</v>
      </c>
    </row>
    <row r="9040" s="3" customFormat="1" ht="18.75" spans="1:5">
      <c r="A9040" s="8" t="str">
        <f t="shared" si="156"/>
        <v>250036</v>
      </c>
      <c r="B9040" s="8" t="str">
        <f>"2561409011919"</f>
        <v>2561409011919</v>
      </c>
      <c r="C9040" s="8" t="s">
        <v>15</v>
      </c>
      <c r="D9040" s="9">
        <v>49.05</v>
      </c>
      <c r="E9040" s="8">
        <v>310</v>
      </c>
    </row>
    <row r="9041" s="3" customFormat="1" ht="18.75" spans="1:5">
      <c r="A9041" s="8" t="str">
        <f t="shared" si="156"/>
        <v>250036</v>
      </c>
      <c r="B9041" s="8" t="str">
        <f>"2561409013225"</f>
        <v>2561409013225</v>
      </c>
      <c r="C9041" s="8" t="s">
        <v>15</v>
      </c>
      <c r="D9041" s="9">
        <v>48.91</v>
      </c>
      <c r="E9041" s="8">
        <v>311</v>
      </c>
    </row>
    <row r="9042" s="3" customFormat="1" ht="18.75" spans="1:5">
      <c r="A9042" s="8" t="str">
        <f t="shared" si="156"/>
        <v>250036</v>
      </c>
      <c r="B9042" s="8" t="str">
        <f>"2561409012206"</f>
        <v>2561409012206</v>
      </c>
      <c r="C9042" s="8" t="s">
        <v>15</v>
      </c>
      <c r="D9042" s="9">
        <v>48.59</v>
      </c>
      <c r="E9042" s="8">
        <v>312</v>
      </c>
    </row>
    <row r="9043" s="3" customFormat="1" ht="18.75" spans="1:5">
      <c r="A9043" s="8" t="str">
        <f t="shared" si="156"/>
        <v>250036</v>
      </c>
      <c r="B9043" s="8" t="str">
        <f>"2561409012216"</f>
        <v>2561409012216</v>
      </c>
      <c r="C9043" s="8" t="s">
        <v>15</v>
      </c>
      <c r="D9043" s="9">
        <v>48.55</v>
      </c>
      <c r="E9043" s="8">
        <v>313</v>
      </c>
    </row>
    <row r="9044" s="3" customFormat="1" ht="18.75" spans="1:5">
      <c r="A9044" s="8" t="str">
        <f t="shared" si="156"/>
        <v>250036</v>
      </c>
      <c r="B9044" s="8" t="str">
        <f>"2561409013805"</f>
        <v>2561409013805</v>
      </c>
      <c r="C9044" s="8" t="s">
        <v>15</v>
      </c>
      <c r="D9044" s="9">
        <v>48.52</v>
      </c>
      <c r="E9044" s="8">
        <v>314</v>
      </c>
    </row>
    <row r="9045" s="3" customFormat="1" ht="18.75" spans="1:5">
      <c r="A9045" s="8" t="str">
        <f t="shared" si="156"/>
        <v>250036</v>
      </c>
      <c r="B9045" s="8" t="str">
        <f>"2561409012912"</f>
        <v>2561409012912</v>
      </c>
      <c r="C9045" s="8" t="s">
        <v>15</v>
      </c>
      <c r="D9045" s="9">
        <v>48.21</v>
      </c>
      <c r="E9045" s="8">
        <v>315</v>
      </c>
    </row>
    <row r="9046" s="3" customFormat="1" ht="18.75" spans="1:5">
      <c r="A9046" s="8" t="str">
        <f t="shared" si="156"/>
        <v>250036</v>
      </c>
      <c r="B9046" s="8" t="str">
        <f>"2561409013823"</f>
        <v>2561409013823</v>
      </c>
      <c r="C9046" s="8" t="s">
        <v>15</v>
      </c>
      <c r="D9046" s="9">
        <v>48.21</v>
      </c>
      <c r="E9046" s="8">
        <v>315</v>
      </c>
    </row>
    <row r="9047" s="3" customFormat="1" ht="18.75" spans="1:5">
      <c r="A9047" s="8" t="str">
        <f t="shared" si="156"/>
        <v>250036</v>
      </c>
      <c r="B9047" s="8" t="str">
        <f>"2561409013703"</f>
        <v>2561409013703</v>
      </c>
      <c r="C9047" s="8" t="s">
        <v>15</v>
      </c>
      <c r="D9047" s="9">
        <v>48.19</v>
      </c>
      <c r="E9047" s="8">
        <v>317</v>
      </c>
    </row>
    <row r="9048" s="3" customFormat="1" ht="18.75" spans="1:5">
      <c r="A9048" s="8" t="str">
        <f t="shared" si="156"/>
        <v>250036</v>
      </c>
      <c r="B9048" s="8" t="str">
        <f>"2561409013204"</f>
        <v>2561409013204</v>
      </c>
      <c r="C9048" s="8" t="s">
        <v>15</v>
      </c>
      <c r="D9048" s="9">
        <v>48.15</v>
      </c>
      <c r="E9048" s="8">
        <v>318</v>
      </c>
    </row>
    <row r="9049" s="3" customFormat="1" ht="18.75" spans="1:5">
      <c r="A9049" s="8" t="str">
        <f t="shared" si="156"/>
        <v>250036</v>
      </c>
      <c r="B9049" s="8" t="str">
        <f>"2561409012911"</f>
        <v>2561409012911</v>
      </c>
      <c r="C9049" s="8" t="s">
        <v>15</v>
      </c>
      <c r="D9049" s="9">
        <v>48.04</v>
      </c>
      <c r="E9049" s="8">
        <v>319</v>
      </c>
    </row>
    <row r="9050" s="3" customFormat="1" ht="18.75" spans="1:5">
      <c r="A9050" s="8" t="str">
        <f t="shared" si="156"/>
        <v>250036</v>
      </c>
      <c r="B9050" s="8" t="str">
        <f>"2561409012902"</f>
        <v>2561409012902</v>
      </c>
      <c r="C9050" s="8" t="s">
        <v>15</v>
      </c>
      <c r="D9050" s="9">
        <v>48.01</v>
      </c>
      <c r="E9050" s="8">
        <v>320</v>
      </c>
    </row>
    <row r="9051" s="3" customFormat="1" ht="18.75" spans="1:5">
      <c r="A9051" s="8" t="str">
        <f t="shared" ref="A9051:A9114" si="157">"250036"</f>
        <v>250036</v>
      </c>
      <c r="B9051" s="8" t="str">
        <f>"2561409013318"</f>
        <v>2561409013318</v>
      </c>
      <c r="C9051" s="8" t="s">
        <v>15</v>
      </c>
      <c r="D9051" s="9">
        <v>47.92</v>
      </c>
      <c r="E9051" s="8">
        <v>321</v>
      </c>
    </row>
    <row r="9052" s="3" customFormat="1" ht="18.75" spans="1:5">
      <c r="A9052" s="8" t="str">
        <f t="shared" si="157"/>
        <v>250036</v>
      </c>
      <c r="B9052" s="8" t="str">
        <f>"2561409011728"</f>
        <v>2561409011728</v>
      </c>
      <c r="C9052" s="8" t="s">
        <v>15</v>
      </c>
      <c r="D9052" s="9">
        <v>47.79</v>
      </c>
      <c r="E9052" s="8">
        <v>322</v>
      </c>
    </row>
    <row r="9053" s="3" customFormat="1" ht="18.75" spans="1:5">
      <c r="A9053" s="8" t="str">
        <f t="shared" si="157"/>
        <v>250036</v>
      </c>
      <c r="B9053" s="8" t="str">
        <f>"2561409013505"</f>
        <v>2561409013505</v>
      </c>
      <c r="C9053" s="8" t="s">
        <v>15</v>
      </c>
      <c r="D9053" s="9">
        <v>47.61</v>
      </c>
      <c r="E9053" s="8">
        <v>323</v>
      </c>
    </row>
    <row r="9054" s="3" customFormat="1" ht="18.75" spans="1:5">
      <c r="A9054" s="8" t="str">
        <f t="shared" si="157"/>
        <v>250036</v>
      </c>
      <c r="B9054" s="8" t="str">
        <f>"2561409013022"</f>
        <v>2561409013022</v>
      </c>
      <c r="C9054" s="8" t="s">
        <v>15</v>
      </c>
      <c r="D9054" s="9">
        <v>47.56</v>
      </c>
      <c r="E9054" s="8">
        <v>324</v>
      </c>
    </row>
    <row r="9055" s="3" customFormat="1" ht="18.75" spans="1:5">
      <c r="A9055" s="8" t="str">
        <f t="shared" si="157"/>
        <v>250036</v>
      </c>
      <c r="B9055" s="8" t="str">
        <f>"2561409012202"</f>
        <v>2561409012202</v>
      </c>
      <c r="C9055" s="8" t="s">
        <v>15</v>
      </c>
      <c r="D9055" s="9">
        <v>47.43</v>
      </c>
      <c r="E9055" s="8">
        <v>325</v>
      </c>
    </row>
    <row r="9056" s="3" customFormat="1" ht="18.75" spans="1:5">
      <c r="A9056" s="8" t="str">
        <f t="shared" si="157"/>
        <v>250036</v>
      </c>
      <c r="B9056" s="8" t="str">
        <f>"2561409013402"</f>
        <v>2561409013402</v>
      </c>
      <c r="C9056" s="8" t="s">
        <v>15</v>
      </c>
      <c r="D9056" s="9">
        <v>47.38</v>
      </c>
      <c r="E9056" s="8">
        <v>326</v>
      </c>
    </row>
    <row r="9057" s="3" customFormat="1" ht="18.75" spans="1:5">
      <c r="A9057" s="8" t="str">
        <f t="shared" si="157"/>
        <v>250036</v>
      </c>
      <c r="B9057" s="8" t="str">
        <f>"2561409013514"</f>
        <v>2561409013514</v>
      </c>
      <c r="C9057" s="8" t="s">
        <v>15</v>
      </c>
      <c r="D9057" s="9">
        <v>47.34</v>
      </c>
      <c r="E9057" s="8">
        <v>327</v>
      </c>
    </row>
    <row r="9058" s="3" customFormat="1" ht="18.75" spans="1:5">
      <c r="A9058" s="8" t="str">
        <f t="shared" si="157"/>
        <v>250036</v>
      </c>
      <c r="B9058" s="8" t="str">
        <f>"2561409012105"</f>
        <v>2561409012105</v>
      </c>
      <c r="C9058" s="8" t="s">
        <v>15</v>
      </c>
      <c r="D9058" s="9">
        <v>47.32</v>
      </c>
      <c r="E9058" s="8">
        <v>328</v>
      </c>
    </row>
    <row r="9059" s="3" customFormat="1" ht="18.75" spans="1:5">
      <c r="A9059" s="8" t="str">
        <f t="shared" si="157"/>
        <v>250036</v>
      </c>
      <c r="B9059" s="8" t="str">
        <f>"2561409012306"</f>
        <v>2561409012306</v>
      </c>
      <c r="C9059" s="8" t="s">
        <v>15</v>
      </c>
      <c r="D9059" s="9">
        <v>47.05</v>
      </c>
      <c r="E9059" s="8">
        <v>329</v>
      </c>
    </row>
    <row r="9060" s="3" customFormat="1" ht="18.75" spans="1:5">
      <c r="A9060" s="8" t="str">
        <f t="shared" si="157"/>
        <v>250036</v>
      </c>
      <c r="B9060" s="8" t="str">
        <f>"2561409013609"</f>
        <v>2561409013609</v>
      </c>
      <c r="C9060" s="8" t="s">
        <v>15</v>
      </c>
      <c r="D9060" s="9">
        <v>47</v>
      </c>
      <c r="E9060" s="8">
        <v>330</v>
      </c>
    </row>
    <row r="9061" s="3" customFormat="1" ht="18.75" spans="1:5">
      <c r="A9061" s="8" t="str">
        <f t="shared" si="157"/>
        <v>250036</v>
      </c>
      <c r="B9061" s="8" t="str">
        <f>"2561409012411"</f>
        <v>2561409012411</v>
      </c>
      <c r="C9061" s="8" t="s">
        <v>15</v>
      </c>
      <c r="D9061" s="9">
        <v>46.73</v>
      </c>
      <c r="E9061" s="8">
        <v>331</v>
      </c>
    </row>
    <row r="9062" s="3" customFormat="1" ht="18.75" spans="1:5">
      <c r="A9062" s="8" t="str">
        <f t="shared" si="157"/>
        <v>250036</v>
      </c>
      <c r="B9062" s="8" t="str">
        <f>"2561409013114"</f>
        <v>2561409013114</v>
      </c>
      <c r="C9062" s="8" t="s">
        <v>15</v>
      </c>
      <c r="D9062" s="9">
        <v>46.69</v>
      </c>
      <c r="E9062" s="8">
        <v>332</v>
      </c>
    </row>
    <row r="9063" s="3" customFormat="1" ht="18.75" spans="1:5">
      <c r="A9063" s="8" t="str">
        <f t="shared" si="157"/>
        <v>250036</v>
      </c>
      <c r="B9063" s="8" t="str">
        <f>"2561409013213"</f>
        <v>2561409013213</v>
      </c>
      <c r="C9063" s="8" t="s">
        <v>15</v>
      </c>
      <c r="D9063" s="9">
        <v>46.57</v>
      </c>
      <c r="E9063" s="8">
        <v>333</v>
      </c>
    </row>
    <row r="9064" s="3" customFormat="1" ht="18.75" spans="1:5">
      <c r="A9064" s="8" t="str">
        <f t="shared" si="157"/>
        <v>250036</v>
      </c>
      <c r="B9064" s="8" t="str">
        <f>"2561409013723"</f>
        <v>2561409013723</v>
      </c>
      <c r="C9064" s="8" t="s">
        <v>15</v>
      </c>
      <c r="D9064" s="9">
        <v>46.5</v>
      </c>
      <c r="E9064" s="8">
        <v>334</v>
      </c>
    </row>
    <row r="9065" s="3" customFormat="1" ht="18.75" spans="1:5">
      <c r="A9065" s="8" t="str">
        <f t="shared" si="157"/>
        <v>250036</v>
      </c>
      <c r="B9065" s="8" t="str">
        <f>"2561409012316"</f>
        <v>2561409012316</v>
      </c>
      <c r="C9065" s="8" t="s">
        <v>15</v>
      </c>
      <c r="D9065" s="9">
        <v>46.45</v>
      </c>
      <c r="E9065" s="8">
        <v>335</v>
      </c>
    </row>
    <row r="9066" s="3" customFormat="1" ht="18.75" spans="1:5">
      <c r="A9066" s="8" t="str">
        <f t="shared" si="157"/>
        <v>250036</v>
      </c>
      <c r="B9066" s="8" t="str">
        <f>"2561409012301"</f>
        <v>2561409012301</v>
      </c>
      <c r="C9066" s="8" t="s">
        <v>15</v>
      </c>
      <c r="D9066" s="9">
        <v>46.35</v>
      </c>
      <c r="E9066" s="8">
        <v>336</v>
      </c>
    </row>
    <row r="9067" s="3" customFormat="1" ht="18.75" spans="1:5">
      <c r="A9067" s="8" t="str">
        <f t="shared" si="157"/>
        <v>250036</v>
      </c>
      <c r="B9067" s="8" t="str">
        <f>"2561409012527"</f>
        <v>2561409012527</v>
      </c>
      <c r="C9067" s="8" t="s">
        <v>15</v>
      </c>
      <c r="D9067" s="9">
        <v>46.26</v>
      </c>
      <c r="E9067" s="8">
        <v>337</v>
      </c>
    </row>
    <row r="9068" s="3" customFormat="1" ht="18.75" spans="1:5">
      <c r="A9068" s="8" t="str">
        <f t="shared" si="157"/>
        <v>250036</v>
      </c>
      <c r="B9068" s="8" t="str">
        <f>"2561409012507"</f>
        <v>2561409012507</v>
      </c>
      <c r="C9068" s="8" t="s">
        <v>15</v>
      </c>
      <c r="D9068" s="9">
        <v>46.24</v>
      </c>
      <c r="E9068" s="8">
        <v>338</v>
      </c>
    </row>
    <row r="9069" s="3" customFormat="1" ht="18.75" spans="1:5">
      <c r="A9069" s="8" t="str">
        <f t="shared" si="157"/>
        <v>250036</v>
      </c>
      <c r="B9069" s="8" t="str">
        <f>"2561409013903"</f>
        <v>2561409013903</v>
      </c>
      <c r="C9069" s="8" t="s">
        <v>15</v>
      </c>
      <c r="D9069" s="9">
        <v>46.11</v>
      </c>
      <c r="E9069" s="8">
        <v>339</v>
      </c>
    </row>
    <row r="9070" s="3" customFormat="1" ht="18.75" spans="1:5">
      <c r="A9070" s="8" t="str">
        <f t="shared" si="157"/>
        <v>250036</v>
      </c>
      <c r="B9070" s="8" t="str">
        <f>"2561409012211"</f>
        <v>2561409012211</v>
      </c>
      <c r="C9070" s="8" t="s">
        <v>15</v>
      </c>
      <c r="D9070" s="9">
        <v>45.74</v>
      </c>
      <c r="E9070" s="8">
        <v>340</v>
      </c>
    </row>
    <row r="9071" s="3" customFormat="1" ht="18.75" spans="1:5">
      <c r="A9071" s="8" t="str">
        <f t="shared" si="157"/>
        <v>250036</v>
      </c>
      <c r="B9071" s="8" t="str">
        <f>"2561409012905"</f>
        <v>2561409012905</v>
      </c>
      <c r="C9071" s="8" t="s">
        <v>15</v>
      </c>
      <c r="D9071" s="9">
        <v>45.73</v>
      </c>
      <c r="E9071" s="8">
        <v>341</v>
      </c>
    </row>
    <row r="9072" s="3" customFormat="1" ht="18.75" spans="1:5">
      <c r="A9072" s="8" t="str">
        <f t="shared" si="157"/>
        <v>250036</v>
      </c>
      <c r="B9072" s="8" t="str">
        <f>"2561409012508"</f>
        <v>2561409012508</v>
      </c>
      <c r="C9072" s="8" t="s">
        <v>15</v>
      </c>
      <c r="D9072" s="9">
        <v>45.64</v>
      </c>
      <c r="E9072" s="8">
        <v>342</v>
      </c>
    </row>
    <row r="9073" s="3" customFormat="1" ht="18.75" spans="1:5">
      <c r="A9073" s="8" t="str">
        <f t="shared" si="157"/>
        <v>250036</v>
      </c>
      <c r="B9073" s="8" t="str">
        <f>"2561409012320"</f>
        <v>2561409012320</v>
      </c>
      <c r="C9073" s="8" t="s">
        <v>15</v>
      </c>
      <c r="D9073" s="9">
        <v>45.4</v>
      </c>
      <c r="E9073" s="8">
        <v>343</v>
      </c>
    </row>
    <row r="9074" s="3" customFormat="1" ht="18.75" spans="1:5">
      <c r="A9074" s="8" t="str">
        <f t="shared" si="157"/>
        <v>250036</v>
      </c>
      <c r="B9074" s="8" t="str">
        <f>"2561409013116"</f>
        <v>2561409013116</v>
      </c>
      <c r="C9074" s="8" t="s">
        <v>15</v>
      </c>
      <c r="D9074" s="9">
        <v>45.35</v>
      </c>
      <c r="E9074" s="8">
        <v>344</v>
      </c>
    </row>
    <row r="9075" s="3" customFormat="1" ht="18.75" spans="1:5">
      <c r="A9075" s="8" t="str">
        <f t="shared" si="157"/>
        <v>250036</v>
      </c>
      <c r="B9075" s="8" t="str">
        <f>"2561409012001"</f>
        <v>2561409012001</v>
      </c>
      <c r="C9075" s="8" t="s">
        <v>15</v>
      </c>
      <c r="D9075" s="9">
        <v>45.1</v>
      </c>
      <c r="E9075" s="8">
        <v>345</v>
      </c>
    </row>
    <row r="9076" s="3" customFormat="1" ht="18.75" spans="1:5">
      <c r="A9076" s="8" t="str">
        <f t="shared" si="157"/>
        <v>250036</v>
      </c>
      <c r="B9076" s="8" t="str">
        <f>"2561409011824"</f>
        <v>2561409011824</v>
      </c>
      <c r="C9076" s="8" t="s">
        <v>15</v>
      </c>
      <c r="D9076" s="9">
        <v>45.03</v>
      </c>
      <c r="E9076" s="8">
        <v>346</v>
      </c>
    </row>
    <row r="9077" s="3" customFormat="1" ht="18.75" spans="1:5">
      <c r="A9077" s="8" t="str">
        <f t="shared" si="157"/>
        <v>250036</v>
      </c>
      <c r="B9077" s="8" t="str">
        <f>"2561409013106"</f>
        <v>2561409013106</v>
      </c>
      <c r="C9077" s="8" t="s">
        <v>15</v>
      </c>
      <c r="D9077" s="9">
        <v>44.84</v>
      </c>
      <c r="E9077" s="8">
        <v>347</v>
      </c>
    </row>
    <row r="9078" s="3" customFormat="1" ht="18.75" spans="1:5">
      <c r="A9078" s="8" t="str">
        <f t="shared" si="157"/>
        <v>250036</v>
      </c>
      <c r="B9078" s="8" t="str">
        <f>"2561409012021"</f>
        <v>2561409012021</v>
      </c>
      <c r="C9078" s="8" t="s">
        <v>15</v>
      </c>
      <c r="D9078" s="9">
        <v>44.75</v>
      </c>
      <c r="E9078" s="8">
        <v>348</v>
      </c>
    </row>
    <row r="9079" s="3" customFormat="1" ht="18.75" spans="1:5">
      <c r="A9079" s="8" t="str">
        <f t="shared" si="157"/>
        <v>250036</v>
      </c>
      <c r="B9079" s="8" t="str">
        <f>"2561409012325"</f>
        <v>2561409012325</v>
      </c>
      <c r="C9079" s="8" t="s">
        <v>15</v>
      </c>
      <c r="D9079" s="9">
        <v>44.47</v>
      </c>
      <c r="E9079" s="8">
        <v>349</v>
      </c>
    </row>
    <row r="9080" s="3" customFormat="1" ht="18.75" spans="1:5">
      <c r="A9080" s="8" t="str">
        <f t="shared" si="157"/>
        <v>250036</v>
      </c>
      <c r="B9080" s="8" t="str">
        <f>"2561409012422"</f>
        <v>2561409012422</v>
      </c>
      <c r="C9080" s="8" t="s">
        <v>15</v>
      </c>
      <c r="D9080" s="9">
        <v>44.3</v>
      </c>
      <c r="E9080" s="8">
        <v>350</v>
      </c>
    </row>
    <row r="9081" s="3" customFormat="1" ht="18.75" spans="1:5">
      <c r="A9081" s="8" t="str">
        <f t="shared" si="157"/>
        <v>250036</v>
      </c>
      <c r="B9081" s="8" t="str">
        <f>"2561409012901"</f>
        <v>2561409012901</v>
      </c>
      <c r="C9081" s="8" t="s">
        <v>15</v>
      </c>
      <c r="D9081" s="9">
        <v>44.3</v>
      </c>
      <c r="E9081" s="8">
        <v>350</v>
      </c>
    </row>
    <row r="9082" s="3" customFormat="1" ht="18.75" spans="1:5">
      <c r="A9082" s="8" t="str">
        <f t="shared" si="157"/>
        <v>250036</v>
      </c>
      <c r="B9082" s="8" t="str">
        <f>"2561409013619"</f>
        <v>2561409013619</v>
      </c>
      <c r="C9082" s="8" t="s">
        <v>15</v>
      </c>
      <c r="D9082" s="9">
        <v>44.28</v>
      </c>
      <c r="E9082" s="8">
        <v>352</v>
      </c>
    </row>
    <row r="9083" s="3" customFormat="1" ht="18.75" spans="1:5">
      <c r="A9083" s="8" t="str">
        <f t="shared" si="157"/>
        <v>250036</v>
      </c>
      <c r="B9083" s="8" t="str">
        <f>"2561409012106"</f>
        <v>2561409012106</v>
      </c>
      <c r="C9083" s="8" t="s">
        <v>15</v>
      </c>
      <c r="D9083" s="9">
        <v>44</v>
      </c>
      <c r="E9083" s="8">
        <v>353</v>
      </c>
    </row>
    <row r="9084" s="3" customFormat="1" ht="18.75" spans="1:5">
      <c r="A9084" s="8" t="str">
        <f t="shared" si="157"/>
        <v>250036</v>
      </c>
      <c r="B9084" s="8" t="str">
        <f>"2561409012308"</f>
        <v>2561409012308</v>
      </c>
      <c r="C9084" s="8" t="s">
        <v>15</v>
      </c>
      <c r="D9084" s="9">
        <v>43.76</v>
      </c>
      <c r="E9084" s="8">
        <v>354</v>
      </c>
    </row>
    <row r="9085" s="3" customFormat="1" ht="18.75" spans="1:5">
      <c r="A9085" s="8" t="str">
        <f t="shared" si="157"/>
        <v>250036</v>
      </c>
      <c r="B9085" s="8" t="str">
        <f>"2561409013406"</f>
        <v>2561409013406</v>
      </c>
      <c r="C9085" s="8" t="s">
        <v>15</v>
      </c>
      <c r="D9085" s="9">
        <v>43.49</v>
      </c>
      <c r="E9085" s="8">
        <v>355</v>
      </c>
    </row>
    <row r="9086" s="3" customFormat="1" ht="18.75" spans="1:5">
      <c r="A9086" s="8" t="str">
        <f t="shared" si="157"/>
        <v>250036</v>
      </c>
      <c r="B9086" s="8" t="str">
        <f>"2561409012024"</f>
        <v>2561409012024</v>
      </c>
      <c r="C9086" s="8" t="s">
        <v>15</v>
      </c>
      <c r="D9086" s="9">
        <v>43.34</v>
      </c>
      <c r="E9086" s="8">
        <v>356</v>
      </c>
    </row>
    <row r="9087" s="3" customFormat="1" ht="18.75" spans="1:5">
      <c r="A9087" s="8" t="str">
        <f t="shared" si="157"/>
        <v>250036</v>
      </c>
      <c r="B9087" s="8" t="str">
        <f>"2561409012318"</f>
        <v>2561409012318</v>
      </c>
      <c r="C9087" s="8" t="s">
        <v>15</v>
      </c>
      <c r="D9087" s="9">
        <v>43.1</v>
      </c>
      <c r="E9087" s="8">
        <v>357</v>
      </c>
    </row>
    <row r="9088" s="3" customFormat="1" ht="18.75" spans="1:5">
      <c r="A9088" s="8" t="str">
        <f t="shared" si="157"/>
        <v>250036</v>
      </c>
      <c r="B9088" s="8" t="str">
        <f>"2561409012610"</f>
        <v>2561409012610</v>
      </c>
      <c r="C9088" s="8" t="s">
        <v>15</v>
      </c>
      <c r="D9088" s="9">
        <v>43.1</v>
      </c>
      <c r="E9088" s="8">
        <v>357</v>
      </c>
    </row>
    <row r="9089" s="3" customFormat="1" ht="18.75" spans="1:5">
      <c r="A9089" s="8" t="str">
        <f t="shared" si="157"/>
        <v>250036</v>
      </c>
      <c r="B9089" s="8" t="str">
        <f>"2561409011815"</f>
        <v>2561409011815</v>
      </c>
      <c r="C9089" s="8" t="s">
        <v>15</v>
      </c>
      <c r="D9089" s="9">
        <v>43.06</v>
      </c>
      <c r="E9089" s="8">
        <v>359</v>
      </c>
    </row>
    <row r="9090" s="3" customFormat="1" ht="18.75" spans="1:5">
      <c r="A9090" s="8" t="str">
        <f t="shared" si="157"/>
        <v>250036</v>
      </c>
      <c r="B9090" s="8" t="str">
        <f>"2561409012030"</f>
        <v>2561409012030</v>
      </c>
      <c r="C9090" s="8" t="s">
        <v>15</v>
      </c>
      <c r="D9090" s="9">
        <v>43.01</v>
      </c>
      <c r="E9090" s="8">
        <v>360</v>
      </c>
    </row>
    <row r="9091" s="3" customFormat="1" ht="18.75" spans="1:5">
      <c r="A9091" s="8" t="str">
        <f t="shared" si="157"/>
        <v>250036</v>
      </c>
      <c r="B9091" s="8" t="str">
        <f>"2561409011807"</f>
        <v>2561409011807</v>
      </c>
      <c r="C9091" s="8" t="s">
        <v>15</v>
      </c>
      <c r="D9091" s="9">
        <v>42.85</v>
      </c>
      <c r="E9091" s="8">
        <v>361</v>
      </c>
    </row>
    <row r="9092" s="3" customFormat="1" ht="18.75" spans="1:5">
      <c r="A9092" s="8" t="str">
        <f t="shared" si="157"/>
        <v>250036</v>
      </c>
      <c r="B9092" s="8" t="str">
        <f>"2561409013508"</f>
        <v>2561409013508</v>
      </c>
      <c r="C9092" s="8" t="s">
        <v>15</v>
      </c>
      <c r="D9092" s="9">
        <v>42.22</v>
      </c>
      <c r="E9092" s="8">
        <v>362</v>
      </c>
    </row>
    <row r="9093" s="3" customFormat="1" ht="18.75" spans="1:5">
      <c r="A9093" s="8" t="str">
        <f t="shared" si="157"/>
        <v>250036</v>
      </c>
      <c r="B9093" s="8" t="str">
        <f>"2561409013606"</f>
        <v>2561409013606</v>
      </c>
      <c r="C9093" s="8" t="s">
        <v>15</v>
      </c>
      <c r="D9093" s="9">
        <v>41.91</v>
      </c>
      <c r="E9093" s="8">
        <v>363</v>
      </c>
    </row>
    <row r="9094" s="3" customFormat="1" ht="18.75" spans="1:5">
      <c r="A9094" s="8" t="str">
        <f t="shared" si="157"/>
        <v>250036</v>
      </c>
      <c r="B9094" s="8" t="str">
        <f>"2561409013028"</f>
        <v>2561409013028</v>
      </c>
      <c r="C9094" s="8" t="s">
        <v>15</v>
      </c>
      <c r="D9094" s="9">
        <v>41.64</v>
      </c>
      <c r="E9094" s="8">
        <v>364</v>
      </c>
    </row>
    <row r="9095" s="3" customFormat="1" ht="18.75" spans="1:5">
      <c r="A9095" s="8" t="str">
        <f t="shared" si="157"/>
        <v>250036</v>
      </c>
      <c r="B9095" s="8" t="str">
        <f>"2561409012804"</f>
        <v>2561409012804</v>
      </c>
      <c r="C9095" s="8" t="s">
        <v>15</v>
      </c>
      <c r="D9095" s="9">
        <v>40.78</v>
      </c>
      <c r="E9095" s="8">
        <v>365</v>
      </c>
    </row>
    <row r="9096" s="3" customFormat="1" ht="18.75" spans="1:5">
      <c r="A9096" s="8" t="str">
        <f t="shared" si="157"/>
        <v>250036</v>
      </c>
      <c r="B9096" s="8" t="str">
        <f>"2561409011923"</f>
        <v>2561409011923</v>
      </c>
      <c r="C9096" s="8" t="s">
        <v>15</v>
      </c>
      <c r="D9096" s="9">
        <v>40.6</v>
      </c>
      <c r="E9096" s="8">
        <v>366</v>
      </c>
    </row>
    <row r="9097" s="3" customFormat="1" ht="18.75" spans="1:5">
      <c r="A9097" s="8" t="str">
        <f t="shared" si="157"/>
        <v>250036</v>
      </c>
      <c r="B9097" s="8" t="str">
        <f>"2561409013425"</f>
        <v>2561409013425</v>
      </c>
      <c r="C9097" s="8" t="s">
        <v>15</v>
      </c>
      <c r="D9097" s="9">
        <v>40.58</v>
      </c>
      <c r="E9097" s="8">
        <v>367</v>
      </c>
    </row>
    <row r="9098" s="3" customFormat="1" ht="18.75" spans="1:5">
      <c r="A9098" s="8" t="str">
        <f t="shared" si="157"/>
        <v>250036</v>
      </c>
      <c r="B9098" s="8" t="str">
        <f>"2561409013422"</f>
        <v>2561409013422</v>
      </c>
      <c r="C9098" s="8" t="s">
        <v>15</v>
      </c>
      <c r="D9098" s="9">
        <v>40.47</v>
      </c>
      <c r="E9098" s="8">
        <v>368</v>
      </c>
    </row>
    <row r="9099" s="3" customFormat="1" ht="18.75" spans="1:5">
      <c r="A9099" s="8" t="str">
        <f t="shared" si="157"/>
        <v>250036</v>
      </c>
      <c r="B9099" s="8" t="str">
        <f>"2561409012924"</f>
        <v>2561409012924</v>
      </c>
      <c r="C9099" s="8" t="s">
        <v>15</v>
      </c>
      <c r="D9099" s="9">
        <v>40.09</v>
      </c>
      <c r="E9099" s="8">
        <v>369</v>
      </c>
    </row>
    <row r="9100" s="3" customFormat="1" ht="18.75" spans="1:5">
      <c r="A9100" s="8" t="str">
        <f t="shared" si="157"/>
        <v>250036</v>
      </c>
      <c r="B9100" s="8" t="str">
        <f>"2561409012807"</f>
        <v>2561409012807</v>
      </c>
      <c r="C9100" s="8" t="s">
        <v>15</v>
      </c>
      <c r="D9100" s="9">
        <v>38.35</v>
      </c>
      <c r="E9100" s="8">
        <v>370</v>
      </c>
    </row>
    <row r="9101" s="3" customFormat="1" ht="18.75" spans="1:5">
      <c r="A9101" s="8" t="str">
        <f t="shared" si="157"/>
        <v>250036</v>
      </c>
      <c r="B9101" s="8" t="str">
        <f>"2561409011924"</f>
        <v>2561409011924</v>
      </c>
      <c r="C9101" s="8" t="s">
        <v>15</v>
      </c>
      <c r="D9101" s="9">
        <v>37.96</v>
      </c>
      <c r="E9101" s="8">
        <v>371</v>
      </c>
    </row>
    <row r="9102" s="3" customFormat="1" ht="18.75" spans="1:5">
      <c r="A9102" s="8" t="str">
        <f t="shared" si="157"/>
        <v>250036</v>
      </c>
      <c r="B9102" s="8" t="str">
        <f>"2561409013429"</f>
        <v>2561409013429</v>
      </c>
      <c r="C9102" s="8" t="s">
        <v>15</v>
      </c>
      <c r="D9102" s="9">
        <v>35.81</v>
      </c>
      <c r="E9102" s="8">
        <v>372</v>
      </c>
    </row>
    <row r="9103" s="3" customFormat="1" ht="18.75" spans="1:5">
      <c r="A9103" s="8" t="str">
        <f t="shared" si="157"/>
        <v>250036</v>
      </c>
      <c r="B9103" s="8" t="str">
        <f>"2561409013623"</f>
        <v>2561409013623</v>
      </c>
      <c r="C9103" s="8" t="s">
        <v>15</v>
      </c>
      <c r="D9103" s="9">
        <v>35.65</v>
      </c>
      <c r="E9103" s="8">
        <v>373</v>
      </c>
    </row>
    <row r="9104" s="3" customFormat="1" ht="18.75" spans="1:5">
      <c r="A9104" s="8" t="str">
        <f t="shared" si="157"/>
        <v>250036</v>
      </c>
      <c r="B9104" s="8" t="str">
        <f>"2561409013905"</f>
        <v>2561409013905</v>
      </c>
      <c r="C9104" s="8" t="s">
        <v>15</v>
      </c>
      <c r="D9104" s="9">
        <v>34.66</v>
      </c>
      <c r="E9104" s="8">
        <v>374</v>
      </c>
    </row>
    <row r="9105" s="3" customFormat="1" ht="18.75" spans="1:5">
      <c r="A9105" s="8" t="str">
        <f t="shared" si="157"/>
        <v>250036</v>
      </c>
      <c r="B9105" s="8" t="str">
        <f>"2561409012502"</f>
        <v>2561409012502</v>
      </c>
      <c r="C9105" s="8" t="s">
        <v>15</v>
      </c>
      <c r="D9105" s="9">
        <v>31.9</v>
      </c>
      <c r="E9105" s="8">
        <v>375</v>
      </c>
    </row>
    <row r="9106" s="3" customFormat="1" ht="18.75" spans="1:5">
      <c r="A9106" s="8" t="str">
        <f t="shared" si="157"/>
        <v>250036</v>
      </c>
      <c r="B9106" s="8" t="str">
        <f>"2561409012720"</f>
        <v>2561409012720</v>
      </c>
      <c r="C9106" s="8" t="s">
        <v>15</v>
      </c>
      <c r="D9106" s="9">
        <v>30.45</v>
      </c>
      <c r="E9106" s="8">
        <v>376</v>
      </c>
    </row>
    <row r="9107" s="3" customFormat="1" ht="18.75" spans="1:5">
      <c r="A9107" s="8" t="str">
        <f t="shared" si="157"/>
        <v>250036</v>
      </c>
      <c r="B9107" s="8" t="str">
        <f>"2561409012630"</f>
        <v>2561409012630</v>
      </c>
      <c r="C9107" s="8" t="s">
        <v>15</v>
      </c>
      <c r="D9107" s="9">
        <v>30.14</v>
      </c>
      <c r="E9107" s="8">
        <v>377</v>
      </c>
    </row>
    <row r="9108" s="3" customFormat="1" ht="18.75" spans="1:5">
      <c r="A9108" s="8" t="str">
        <f t="shared" si="157"/>
        <v>250036</v>
      </c>
      <c r="B9108" s="8" t="str">
        <f>"2561409013815"</f>
        <v>2561409013815</v>
      </c>
      <c r="C9108" s="8" t="s">
        <v>15</v>
      </c>
      <c r="D9108" s="9">
        <v>27.98</v>
      </c>
      <c r="E9108" s="8">
        <v>378</v>
      </c>
    </row>
    <row r="9109" s="3" customFormat="1" ht="18.75" spans="1:5">
      <c r="A9109" s="8" t="str">
        <f t="shared" si="157"/>
        <v>250036</v>
      </c>
      <c r="B9109" s="8" t="str">
        <f>"2561409012615"</f>
        <v>2561409012615</v>
      </c>
      <c r="C9109" s="8" t="s">
        <v>15</v>
      </c>
      <c r="D9109" s="9">
        <v>26.84</v>
      </c>
      <c r="E9109" s="8">
        <v>379</v>
      </c>
    </row>
    <row r="9110" s="3" customFormat="1" ht="18.75" spans="1:5">
      <c r="A9110" s="8" t="str">
        <f t="shared" si="157"/>
        <v>250036</v>
      </c>
      <c r="B9110" s="8" t="str">
        <f>"2561409012918"</f>
        <v>2561409012918</v>
      </c>
      <c r="C9110" s="8" t="s">
        <v>15</v>
      </c>
      <c r="D9110" s="9">
        <v>25.06</v>
      </c>
      <c r="E9110" s="8">
        <v>380</v>
      </c>
    </row>
    <row r="9111" s="3" customFormat="1" ht="18.75" spans="1:5">
      <c r="A9111" s="8" t="str">
        <f t="shared" si="157"/>
        <v>250036</v>
      </c>
      <c r="B9111" s="8" t="str">
        <f>"2561409012430"</f>
        <v>2561409012430</v>
      </c>
      <c r="C9111" s="8" t="s">
        <v>15</v>
      </c>
      <c r="D9111" s="9">
        <v>23.42</v>
      </c>
      <c r="E9111" s="8">
        <v>381</v>
      </c>
    </row>
    <row r="9112" s="3" customFormat="1" ht="18.75" spans="1:5">
      <c r="A9112" s="8" t="str">
        <f t="shared" si="157"/>
        <v>250036</v>
      </c>
      <c r="B9112" s="8" t="str">
        <f>"2561409012409"</f>
        <v>2561409012409</v>
      </c>
      <c r="C9112" s="8" t="s">
        <v>15</v>
      </c>
      <c r="D9112" s="9">
        <v>19.56</v>
      </c>
      <c r="E9112" s="8">
        <v>382</v>
      </c>
    </row>
    <row r="9113" s="3" customFormat="1" ht="18.75" spans="1:5">
      <c r="A9113" s="8" t="str">
        <f t="shared" si="157"/>
        <v>250036</v>
      </c>
      <c r="B9113" s="8" t="str">
        <f>"2561409011727"</f>
        <v>2561409011727</v>
      </c>
      <c r="C9113" s="8" t="s">
        <v>15</v>
      </c>
      <c r="D9113" s="9">
        <v>0</v>
      </c>
      <c r="E9113" s="8">
        <v>383</v>
      </c>
    </row>
    <row r="9114" s="3" customFormat="1" ht="18.75" spans="1:5">
      <c r="A9114" s="8" t="str">
        <f t="shared" si="157"/>
        <v>250036</v>
      </c>
      <c r="B9114" s="8" t="str">
        <f>"2561409011730"</f>
        <v>2561409011730</v>
      </c>
      <c r="C9114" s="8" t="s">
        <v>15</v>
      </c>
      <c r="D9114" s="9">
        <v>0</v>
      </c>
      <c r="E9114" s="8">
        <v>383</v>
      </c>
    </row>
    <row r="9115" s="3" customFormat="1" ht="18.75" spans="1:5">
      <c r="A9115" s="8" t="str">
        <f t="shared" ref="A9115:A9178" si="158">"250036"</f>
        <v>250036</v>
      </c>
      <c r="B9115" s="8" t="str">
        <f>"2561409011802"</f>
        <v>2561409011802</v>
      </c>
      <c r="C9115" s="8" t="s">
        <v>15</v>
      </c>
      <c r="D9115" s="9">
        <v>0</v>
      </c>
      <c r="E9115" s="8">
        <v>383</v>
      </c>
    </row>
    <row r="9116" s="3" customFormat="1" ht="18.75" spans="1:5">
      <c r="A9116" s="8" t="str">
        <f t="shared" si="158"/>
        <v>250036</v>
      </c>
      <c r="B9116" s="8" t="str">
        <f>"2561409011808"</f>
        <v>2561409011808</v>
      </c>
      <c r="C9116" s="8" t="s">
        <v>15</v>
      </c>
      <c r="D9116" s="9">
        <v>0</v>
      </c>
      <c r="E9116" s="8">
        <v>383</v>
      </c>
    </row>
    <row r="9117" s="3" customFormat="1" ht="18.75" spans="1:5">
      <c r="A9117" s="8" t="str">
        <f t="shared" si="158"/>
        <v>250036</v>
      </c>
      <c r="B9117" s="8" t="str">
        <f>"2561409011810"</f>
        <v>2561409011810</v>
      </c>
      <c r="C9117" s="8" t="s">
        <v>15</v>
      </c>
      <c r="D9117" s="9">
        <v>0</v>
      </c>
      <c r="E9117" s="8">
        <v>383</v>
      </c>
    </row>
    <row r="9118" s="3" customFormat="1" ht="18.75" spans="1:5">
      <c r="A9118" s="8" t="str">
        <f t="shared" si="158"/>
        <v>250036</v>
      </c>
      <c r="B9118" s="8" t="str">
        <f>"2561409011811"</f>
        <v>2561409011811</v>
      </c>
      <c r="C9118" s="8" t="s">
        <v>15</v>
      </c>
      <c r="D9118" s="9">
        <v>0</v>
      </c>
      <c r="E9118" s="8">
        <v>383</v>
      </c>
    </row>
    <row r="9119" s="3" customFormat="1" ht="18.75" spans="1:5">
      <c r="A9119" s="8" t="str">
        <f t="shared" si="158"/>
        <v>250036</v>
      </c>
      <c r="B9119" s="8" t="str">
        <f>"2561409011812"</f>
        <v>2561409011812</v>
      </c>
      <c r="C9119" s="8" t="s">
        <v>15</v>
      </c>
      <c r="D9119" s="9">
        <v>0</v>
      </c>
      <c r="E9119" s="8">
        <v>383</v>
      </c>
    </row>
    <row r="9120" s="3" customFormat="1" ht="18.75" spans="1:5">
      <c r="A9120" s="8" t="str">
        <f t="shared" si="158"/>
        <v>250036</v>
      </c>
      <c r="B9120" s="8" t="str">
        <f>"2561409011816"</f>
        <v>2561409011816</v>
      </c>
      <c r="C9120" s="8" t="s">
        <v>15</v>
      </c>
      <c r="D9120" s="9">
        <v>0</v>
      </c>
      <c r="E9120" s="8">
        <v>383</v>
      </c>
    </row>
    <row r="9121" s="3" customFormat="1" ht="18.75" spans="1:5">
      <c r="A9121" s="8" t="str">
        <f t="shared" si="158"/>
        <v>250036</v>
      </c>
      <c r="B9121" s="8" t="str">
        <f>"2561409011821"</f>
        <v>2561409011821</v>
      </c>
      <c r="C9121" s="8" t="s">
        <v>15</v>
      </c>
      <c r="D9121" s="9">
        <v>0</v>
      </c>
      <c r="E9121" s="8">
        <v>383</v>
      </c>
    </row>
    <row r="9122" s="3" customFormat="1" ht="18.75" spans="1:5">
      <c r="A9122" s="8" t="str">
        <f t="shared" si="158"/>
        <v>250036</v>
      </c>
      <c r="B9122" s="8" t="str">
        <f>"2561409011822"</f>
        <v>2561409011822</v>
      </c>
      <c r="C9122" s="8" t="s">
        <v>15</v>
      </c>
      <c r="D9122" s="9">
        <v>0</v>
      </c>
      <c r="E9122" s="8">
        <v>383</v>
      </c>
    </row>
    <row r="9123" s="3" customFormat="1" ht="18.75" spans="1:5">
      <c r="A9123" s="8" t="str">
        <f t="shared" si="158"/>
        <v>250036</v>
      </c>
      <c r="B9123" s="8" t="str">
        <f>"2561409011823"</f>
        <v>2561409011823</v>
      </c>
      <c r="C9123" s="8" t="s">
        <v>15</v>
      </c>
      <c r="D9123" s="9">
        <v>0</v>
      </c>
      <c r="E9123" s="8">
        <v>383</v>
      </c>
    </row>
    <row r="9124" s="3" customFormat="1" ht="18.75" spans="1:5">
      <c r="A9124" s="8" t="str">
        <f t="shared" si="158"/>
        <v>250036</v>
      </c>
      <c r="B9124" s="8" t="str">
        <f>"2561409011829"</f>
        <v>2561409011829</v>
      </c>
      <c r="C9124" s="8" t="s">
        <v>15</v>
      </c>
      <c r="D9124" s="9">
        <v>0</v>
      </c>
      <c r="E9124" s="8">
        <v>383</v>
      </c>
    </row>
    <row r="9125" s="3" customFormat="1" ht="18.75" spans="1:5">
      <c r="A9125" s="8" t="str">
        <f t="shared" si="158"/>
        <v>250036</v>
      </c>
      <c r="B9125" s="8" t="str">
        <f>"2561409011830"</f>
        <v>2561409011830</v>
      </c>
      <c r="C9125" s="8" t="s">
        <v>15</v>
      </c>
      <c r="D9125" s="9">
        <v>0</v>
      </c>
      <c r="E9125" s="8">
        <v>383</v>
      </c>
    </row>
    <row r="9126" s="3" customFormat="1" ht="18.75" spans="1:5">
      <c r="A9126" s="8" t="str">
        <f t="shared" si="158"/>
        <v>250036</v>
      </c>
      <c r="B9126" s="8" t="str">
        <f>"2561409011901"</f>
        <v>2561409011901</v>
      </c>
      <c r="C9126" s="8" t="s">
        <v>15</v>
      </c>
      <c r="D9126" s="9">
        <v>0</v>
      </c>
      <c r="E9126" s="8">
        <v>383</v>
      </c>
    </row>
    <row r="9127" s="3" customFormat="1" ht="18.75" spans="1:5">
      <c r="A9127" s="8" t="str">
        <f t="shared" si="158"/>
        <v>250036</v>
      </c>
      <c r="B9127" s="8" t="str">
        <f>"2561409011909"</f>
        <v>2561409011909</v>
      </c>
      <c r="C9127" s="8" t="s">
        <v>15</v>
      </c>
      <c r="D9127" s="9">
        <v>0</v>
      </c>
      <c r="E9127" s="8">
        <v>383</v>
      </c>
    </row>
    <row r="9128" s="3" customFormat="1" ht="18.75" spans="1:5">
      <c r="A9128" s="8" t="str">
        <f t="shared" si="158"/>
        <v>250036</v>
      </c>
      <c r="B9128" s="8" t="str">
        <f>"2561409011910"</f>
        <v>2561409011910</v>
      </c>
      <c r="C9128" s="8" t="s">
        <v>15</v>
      </c>
      <c r="D9128" s="9">
        <v>0</v>
      </c>
      <c r="E9128" s="8">
        <v>383</v>
      </c>
    </row>
    <row r="9129" s="3" customFormat="1" ht="18.75" spans="1:5">
      <c r="A9129" s="8" t="str">
        <f t="shared" si="158"/>
        <v>250036</v>
      </c>
      <c r="B9129" s="8" t="str">
        <f>"2561409011911"</f>
        <v>2561409011911</v>
      </c>
      <c r="C9129" s="8" t="s">
        <v>15</v>
      </c>
      <c r="D9129" s="9">
        <v>0</v>
      </c>
      <c r="E9129" s="8">
        <v>383</v>
      </c>
    </row>
    <row r="9130" s="3" customFormat="1" ht="18.75" spans="1:5">
      <c r="A9130" s="8" t="str">
        <f t="shared" si="158"/>
        <v>250036</v>
      </c>
      <c r="B9130" s="8" t="str">
        <f>"2561409011912"</f>
        <v>2561409011912</v>
      </c>
      <c r="C9130" s="8" t="s">
        <v>15</v>
      </c>
      <c r="D9130" s="9">
        <v>0</v>
      </c>
      <c r="E9130" s="8">
        <v>383</v>
      </c>
    </row>
    <row r="9131" s="3" customFormat="1" ht="18.75" spans="1:5">
      <c r="A9131" s="8" t="str">
        <f t="shared" si="158"/>
        <v>250036</v>
      </c>
      <c r="B9131" s="8" t="str">
        <f>"2561409011914"</f>
        <v>2561409011914</v>
      </c>
      <c r="C9131" s="8" t="s">
        <v>15</v>
      </c>
      <c r="D9131" s="9">
        <v>0</v>
      </c>
      <c r="E9131" s="8">
        <v>383</v>
      </c>
    </row>
    <row r="9132" s="3" customFormat="1" ht="18.75" spans="1:5">
      <c r="A9132" s="8" t="str">
        <f t="shared" si="158"/>
        <v>250036</v>
      </c>
      <c r="B9132" s="8" t="str">
        <f>"2561409011917"</f>
        <v>2561409011917</v>
      </c>
      <c r="C9132" s="8" t="s">
        <v>15</v>
      </c>
      <c r="D9132" s="9">
        <v>0</v>
      </c>
      <c r="E9132" s="8">
        <v>383</v>
      </c>
    </row>
    <row r="9133" s="3" customFormat="1" ht="18.75" spans="1:5">
      <c r="A9133" s="8" t="str">
        <f t="shared" si="158"/>
        <v>250036</v>
      </c>
      <c r="B9133" s="8" t="str">
        <f>"2561409011921"</f>
        <v>2561409011921</v>
      </c>
      <c r="C9133" s="8" t="s">
        <v>15</v>
      </c>
      <c r="D9133" s="9">
        <v>0</v>
      </c>
      <c r="E9133" s="8">
        <v>383</v>
      </c>
    </row>
    <row r="9134" s="3" customFormat="1" ht="18.75" spans="1:5">
      <c r="A9134" s="8" t="str">
        <f t="shared" si="158"/>
        <v>250036</v>
      </c>
      <c r="B9134" s="8" t="str">
        <f>"2561409011925"</f>
        <v>2561409011925</v>
      </c>
      <c r="C9134" s="8" t="s">
        <v>15</v>
      </c>
      <c r="D9134" s="9">
        <v>0</v>
      </c>
      <c r="E9134" s="8">
        <v>383</v>
      </c>
    </row>
    <row r="9135" s="3" customFormat="1" ht="18.75" spans="1:5">
      <c r="A9135" s="8" t="str">
        <f t="shared" si="158"/>
        <v>250036</v>
      </c>
      <c r="B9135" s="8" t="str">
        <f>"2561409011926"</f>
        <v>2561409011926</v>
      </c>
      <c r="C9135" s="8" t="s">
        <v>15</v>
      </c>
      <c r="D9135" s="9">
        <v>0</v>
      </c>
      <c r="E9135" s="8">
        <v>383</v>
      </c>
    </row>
    <row r="9136" s="3" customFormat="1" ht="18.75" spans="1:5">
      <c r="A9136" s="8" t="str">
        <f t="shared" si="158"/>
        <v>250036</v>
      </c>
      <c r="B9136" s="8" t="str">
        <f>"2561409011927"</f>
        <v>2561409011927</v>
      </c>
      <c r="C9136" s="8" t="s">
        <v>15</v>
      </c>
      <c r="D9136" s="9">
        <v>0</v>
      </c>
      <c r="E9136" s="8">
        <v>383</v>
      </c>
    </row>
    <row r="9137" s="3" customFormat="1" ht="18.75" spans="1:5">
      <c r="A9137" s="8" t="str">
        <f t="shared" si="158"/>
        <v>250036</v>
      </c>
      <c r="B9137" s="8" t="str">
        <f>"2561409011929"</f>
        <v>2561409011929</v>
      </c>
      <c r="C9137" s="8" t="s">
        <v>15</v>
      </c>
      <c r="D9137" s="9">
        <v>0</v>
      </c>
      <c r="E9137" s="8">
        <v>383</v>
      </c>
    </row>
    <row r="9138" s="3" customFormat="1" ht="18.75" spans="1:5">
      <c r="A9138" s="8" t="str">
        <f t="shared" si="158"/>
        <v>250036</v>
      </c>
      <c r="B9138" s="8" t="str">
        <f>"2561409012004"</f>
        <v>2561409012004</v>
      </c>
      <c r="C9138" s="8" t="s">
        <v>15</v>
      </c>
      <c r="D9138" s="9">
        <v>0</v>
      </c>
      <c r="E9138" s="8">
        <v>383</v>
      </c>
    </row>
    <row r="9139" s="3" customFormat="1" ht="18.75" spans="1:5">
      <c r="A9139" s="8" t="str">
        <f t="shared" si="158"/>
        <v>250036</v>
      </c>
      <c r="B9139" s="8" t="str">
        <f>"2561409012005"</f>
        <v>2561409012005</v>
      </c>
      <c r="C9139" s="8" t="s">
        <v>15</v>
      </c>
      <c r="D9139" s="9">
        <v>0</v>
      </c>
      <c r="E9139" s="8">
        <v>383</v>
      </c>
    </row>
    <row r="9140" s="3" customFormat="1" ht="18.75" spans="1:5">
      <c r="A9140" s="8" t="str">
        <f t="shared" si="158"/>
        <v>250036</v>
      </c>
      <c r="B9140" s="8" t="str">
        <f>"2561409012007"</f>
        <v>2561409012007</v>
      </c>
      <c r="C9140" s="8" t="s">
        <v>15</v>
      </c>
      <c r="D9140" s="9">
        <v>0</v>
      </c>
      <c r="E9140" s="8">
        <v>383</v>
      </c>
    </row>
    <row r="9141" s="3" customFormat="1" ht="18.75" spans="1:5">
      <c r="A9141" s="8" t="str">
        <f t="shared" si="158"/>
        <v>250036</v>
      </c>
      <c r="B9141" s="8" t="str">
        <f>"2561409012008"</f>
        <v>2561409012008</v>
      </c>
      <c r="C9141" s="8" t="s">
        <v>15</v>
      </c>
      <c r="D9141" s="9">
        <v>0</v>
      </c>
      <c r="E9141" s="8">
        <v>383</v>
      </c>
    </row>
    <row r="9142" s="3" customFormat="1" ht="18.75" spans="1:5">
      <c r="A9142" s="8" t="str">
        <f t="shared" si="158"/>
        <v>250036</v>
      </c>
      <c r="B9142" s="8" t="str">
        <f>"2561409012009"</f>
        <v>2561409012009</v>
      </c>
      <c r="C9142" s="8" t="s">
        <v>15</v>
      </c>
      <c r="D9142" s="9">
        <v>0</v>
      </c>
      <c r="E9142" s="8">
        <v>383</v>
      </c>
    </row>
    <row r="9143" s="3" customFormat="1" ht="18.75" spans="1:5">
      <c r="A9143" s="8" t="str">
        <f t="shared" si="158"/>
        <v>250036</v>
      </c>
      <c r="B9143" s="8" t="str">
        <f>"2561409012010"</f>
        <v>2561409012010</v>
      </c>
      <c r="C9143" s="8" t="s">
        <v>15</v>
      </c>
      <c r="D9143" s="9">
        <v>0</v>
      </c>
      <c r="E9143" s="8">
        <v>383</v>
      </c>
    </row>
    <row r="9144" s="3" customFormat="1" ht="18.75" spans="1:5">
      <c r="A9144" s="8" t="str">
        <f t="shared" si="158"/>
        <v>250036</v>
      </c>
      <c r="B9144" s="8" t="str">
        <f>"2561409012013"</f>
        <v>2561409012013</v>
      </c>
      <c r="C9144" s="8" t="s">
        <v>15</v>
      </c>
      <c r="D9144" s="9">
        <v>0</v>
      </c>
      <c r="E9144" s="8">
        <v>383</v>
      </c>
    </row>
    <row r="9145" s="3" customFormat="1" ht="18.75" spans="1:5">
      <c r="A9145" s="8" t="str">
        <f t="shared" si="158"/>
        <v>250036</v>
      </c>
      <c r="B9145" s="8" t="str">
        <f>"2561409012020"</f>
        <v>2561409012020</v>
      </c>
      <c r="C9145" s="8" t="s">
        <v>15</v>
      </c>
      <c r="D9145" s="9">
        <v>0</v>
      </c>
      <c r="E9145" s="8">
        <v>383</v>
      </c>
    </row>
    <row r="9146" s="3" customFormat="1" ht="18.75" spans="1:5">
      <c r="A9146" s="8" t="str">
        <f t="shared" si="158"/>
        <v>250036</v>
      </c>
      <c r="B9146" s="8" t="str">
        <f>"2561409012028"</f>
        <v>2561409012028</v>
      </c>
      <c r="C9146" s="8" t="s">
        <v>15</v>
      </c>
      <c r="D9146" s="9">
        <v>0</v>
      </c>
      <c r="E9146" s="8">
        <v>383</v>
      </c>
    </row>
    <row r="9147" s="3" customFormat="1" ht="18.75" spans="1:5">
      <c r="A9147" s="8" t="str">
        <f t="shared" si="158"/>
        <v>250036</v>
      </c>
      <c r="B9147" s="8" t="str">
        <f>"2561409012102"</f>
        <v>2561409012102</v>
      </c>
      <c r="C9147" s="8" t="s">
        <v>15</v>
      </c>
      <c r="D9147" s="9">
        <v>0</v>
      </c>
      <c r="E9147" s="8">
        <v>383</v>
      </c>
    </row>
    <row r="9148" s="3" customFormat="1" ht="18.75" spans="1:5">
      <c r="A9148" s="8" t="str">
        <f t="shared" si="158"/>
        <v>250036</v>
      </c>
      <c r="B9148" s="8" t="str">
        <f>"2561409012103"</f>
        <v>2561409012103</v>
      </c>
      <c r="C9148" s="8" t="s">
        <v>15</v>
      </c>
      <c r="D9148" s="9">
        <v>0</v>
      </c>
      <c r="E9148" s="8">
        <v>383</v>
      </c>
    </row>
    <row r="9149" s="3" customFormat="1" ht="18.75" spans="1:5">
      <c r="A9149" s="8" t="str">
        <f t="shared" si="158"/>
        <v>250036</v>
      </c>
      <c r="B9149" s="8" t="str">
        <f>"2561409012108"</f>
        <v>2561409012108</v>
      </c>
      <c r="C9149" s="8" t="s">
        <v>15</v>
      </c>
      <c r="D9149" s="9">
        <v>0</v>
      </c>
      <c r="E9149" s="8">
        <v>383</v>
      </c>
    </row>
    <row r="9150" s="3" customFormat="1" ht="18.75" spans="1:5">
      <c r="A9150" s="8" t="str">
        <f t="shared" si="158"/>
        <v>250036</v>
      </c>
      <c r="B9150" s="8" t="str">
        <f>"2561409012109"</f>
        <v>2561409012109</v>
      </c>
      <c r="C9150" s="8" t="s">
        <v>15</v>
      </c>
      <c r="D9150" s="9">
        <v>0</v>
      </c>
      <c r="E9150" s="8">
        <v>383</v>
      </c>
    </row>
    <row r="9151" s="3" customFormat="1" ht="18.75" spans="1:5">
      <c r="A9151" s="8" t="str">
        <f t="shared" si="158"/>
        <v>250036</v>
      </c>
      <c r="B9151" s="8" t="str">
        <f>"2561409012110"</f>
        <v>2561409012110</v>
      </c>
      <c r="C9151" s="8" t="s">
        <v>15</v>
      </c>
      <c r="D9151" s="9">
        <v>0</v>
      </c>
      <c r="E9151" s="8">
        <v>383</v>
      </c>
    </row>
    <row r="9152" s="3" customFormat="1" ht="18.75" spans="1:5">
      <c r="A9152" s="8" t="str">
        <f t="shared" si="158"/>
        <v>250036</v>
      </c>
      <c r="B9152" s="8" t="str">
        <f>"2561409012111"</f>
        <v>2561409012111</v>
      </c>
      <c r="C9152" s="8" t="s">
        <v>15</v>
      </c>
      <c r="D9152" s="9">
        <v>0</v>
      </c>
      <c r="E9152" s="8">
        <v>383</v>
      </c>
    </row>
    <row r="9153" s="3" customFormat="1" ht="18.75" spans="1:5">
      <c r="A9153" s="8" t="str">
        <f t="shared" si="158"/>
        <v>250036</v>
      </c>
      <c r="B9153" s="8" t="str">
        <f>"2561409012112"</f>
        <v>2561409012112</v>
      </c>
      <c r="C9153" s="8" t="s">
        <v>15</v>
      </c>
      <c r="D9153" s="9">
        <v>0</v>
      </c>
      <c r="E9153" s="8">
        <v>383</v>
      </c>
    </row>
    <row r="9154" s="3" customFormat="1" ht="18.75" spans="1:5">
      <c r="A9154" s="8" t="str">
        <f t="shared" si="158"/>
        <v>250036</v>
      </c>
      <c r="B9154" s="8" t="str">
        <f>"2561409012113"</f>
        <v>2561409012113</v>
      </c>
      <c r="C9154" s="8" t="s">
        <v>15</v>
      </c>
      <c r="D9154" s="9">
        <v>0</v>
      </c>
      <c r="E9154" s="8">
        <v>383</v>
      </c>
    </row>
    <row r="9155" s="3" customFormat="1" ht="18.75" spans="1:5">
      <c r="A9155" s="8" t="str">
        <f t="shared" si="158"/>
        <v>250036</v>
      </c>
      <c r="B9155" s="8" t="str">
        <f>"2561409012114"</f>
        <v>2561409012114</v>
      </c>
      <c r="C9155" s="8" t="s">
        <v>15</v>
      </c>
      <c r="D9155" s="9">
        <v>0</v>
      </c>
      <c r="E9155" s="8">
        <v>383</v>
      </c>
    </row>
    <row r="9156" s="3" customFormat="1" ht="18.75" spans="1:5">
      <c r="A9156" s="8" t="str">
        <f t="shared" si="158"/>
        <v>250036</v>
      </c>
      <c r="B9156" s="8" t="str">
        <f>"2561409012117"</f>
        <v>2561409012117</v>
      </c>
      <c r="C9156" s="8" t="s">
        <v>15</v>
      </c>
      <c r="D9156" s="9">
        <v>0</v>
      </c>
      <c r="E9156" s="8">
        <v>383</v>
      </c>
    </row>
    <row r="9157" s="3" customFormat="1" ht="18.75" spans="1:5">
      <c r="A9157" s="8" t="str">
        <f t="shared" si="158"/>
        <v>250036</v>
      </c>
      <c r="B9157" s="8" t="str">
        <f>"2561409012118"</f>
        <v>2561409012118</v>
      </c>
      <c r="C9157" s="8" t="s">
        <v>15</v>
      </c>
      <c r="D9157" s="9">
        <v>0</v>
      </c>
      <c r="E9157" s="8">
        <v>383</v>
      </c>
    </row>
    <row r="9158" s="3" customFormat="1" ht="18.75" spans="1:5">
      <c r="A9158" s="8" t="str">
        <f t="shared" si="158"/>
        <v>250036</v>
      </c>
      <c r="B9158" s="8" t="str">
        <f>"2561409012120"</f>
        <v>2561409012120</v>
      </c>
      <c r="C9158" s="8" t="s">
        <v>15</v>
      </c>
      <c r="D9158" s="9">
        <v>0</v>
      </c>
      <c r="E9158" s="8">
        <v>383</v>
      </c>
    </row>
    <row r="9159" s="3" customFormat="1" ht="18.75" spans="1:5">
      <c r="A9159" s="8" t="str">
        <f t="shared" si="158"/>
        <v>250036</v>
      </c>
      <c r="B9159" s="8" t="str">
        <f>"2561409012122"</f>
        <v>2561409012122</v>
      </c>
      <c r="C9159" s="8" t="s">
        <v>15</v>
      </c>
      <c r="D9159" s="9">
        <v>0</v>
      </c>
      <c r="E9159" s="8">
        <v>383</v>
      </c>
    </row>
    <row r="9160" s="3" customFormat="1" ht="18.75" spans="1:5">
      <c r="A9160" s="8" t="str">
        <f t="shared" si="158"/>
        <v>250036</v>
      </c>
      <c r="B9160" s="8" t="str">
        <f>"2561409012123"</f>
        <v>2561409012123</v>
      </c>
      <c r="C9160" s="8" t="s">
        <v>15</v>
      </c>
      <c r="D9160" s="9">
        <v>0</v>
      </c>
      <c r="E9160" s="8">
        <v>383</v>
      </c>
    </row>
    <row r="9161" s="3" customFormat="1" ht="18.75" spans="1:5">
      <c r="A9161" s="8" t="str">
        <f t="shared" si="158"/>
        <v>250036</v>
      </c>
      <c r="B9161" s="8" t="str">
        <f>"2561409012125"</f>
        <v>2561409012125</v>
      </c>
      <c r="C9161" s="8" t="s">
        <v>15</v>
      </c>
      <c r="D9161" s="9">
        <v>0</v>
      </c>
      <c r="E9161" s="8">
        <v>383</v>
      </c>
    </row>
    <row r="9162" s="3" customFormat="1" ht="18.75" spans="1:5">
      <c r="A9162" s="8" t="str">
        <f t="shared" si="158"/>
        <v>250036</v>
      </c>
      <c r="B9162" s="8" t="str">
        <f>"2561409012129"</f>
        <v>2561409012129</v>
      </c>
      <c r="C9162" s="8" t="s">
        <v>15</v>
      </c>
      <c r="D9162" s="9">
        <v>0</v>
      </c>
      <c r="E9162" s="8">
        <v>383</v>
      </c>
    </row>
    <row r="9163" s="3" customFormat="1" ht="18.75" spans="1:5">
      <c r="A9163" s="8" t="str">
        <f t="shared" si="158"/>
        <v>250036</v>
      </c>
      <c r="B9163" s="8" t="str">
        <f>"2561409012201"</f>
        <v>2561409012201</v>
      </c>
      <c r="C9163" s="8" t="s">
        <v>15</v>
      </c>
      <c r="D9163" s="9">
        <v>0</v>
      </c>
      <c r="E9163" s="8">
        <v>383</v>
      </c>
    </row>
    <row r="9164" s="3" customFormat="1" ht="18.75" spans="1:5">
      <c r="A9164" s="8" t="str">
        <f t="shared" si="158"/>
        <v>250036</v>
      </c>
      <c r="B9164" s="8" t="str">
        <f>"2561409012203"</f>
        <v>2561409012203</v>
      </c>
      <c r="C9164" s="8" t="s">
        <v>15</v>
      </c>
      <c r="D9164" s="9">
        <v>0</v>
      </c>
      <c r="E9164" s="8">
        <v>383</v>
      </c>
    </row>
    <row r="9165" s="3" customFormat="1" ht="18.75" spans="1:5">
      <c r="A9165" s="8" t="str">
        <f t="shared" si="158"/>
        <v>250036</v>
      </c>
      <c r="B9165" s="8" t="str">
        <f>"2561409012205"</f>
        <v>2561409012205</v>
      </c>
      <c r="C9165" s="8" t="s">
        <v>15</v>
      </c>
      <c r="D9165" s="9">
        <v>0</v>
      </c>
      <c r="E9165" s="8">
        <v>383</v>
      </c>
    </row>
    <row r="9166" s="3" customFormat="1" ht="18.75" spans="1:5">
      <c r="A9166" s="8" t="str">
        <f t="shared" si="158"/>
        <v>250036</v>
      </c>
      <c r="B9166" s="8" t="str">
        <f>"2561409012207"</f>
        <v>2561409012207</v>
      </c>
      <c r="C9166" s="8" t="s">
        <v>15</v>
      </c>
      <c r="D9166" s="9">
        <v>0</v>
      </c>
      <c r="E9166" s="8">
        <v>383</v>
      </c>
    </row>
    <row r="9167" s="3" customFormat="1" ht="18.75" spans="1:5">
      <c r="A9167" s="8" t="str">
        <f t="shared" si="158"/>
        <v>250036</v>
      </c>
      <c r="B9167" s="8" t="str">
        <f>"2561409012209"</f>
        <v>2561409012209</v>
      </c>
      <c r="C9167" s="8" t="s">
        <v>15</v>
      </c>
      <c r="D9167" s="9">
        <v>0</v>
      </c>
      <c r="E9167" s="8">
        <v>383</v>
      </c>
    </row>
    <row r="9168" s="3" customFormat="1" ht="18.75" spans="1:5">
      <c r="A9168" s="8" t="str">
        <f t="shared" si="158"/>
        <v>250036</v>
      </c>
      <c r="B9168" s="8" t="str">
        <f>"2561409012215"</f>
        <v>2561409012215</v>
      </c>
      <c r="C9168" s="8" t="s">
        <v>15</v>
      </c>
      <c r="D9168" s="9">
        <v>0</v>
      </c>
      <c r="E9168" s="8">
        <v>383</v>
      </c>
    </row>
    <row r="9169" s="3" customFormat="1" ht="18.75" spans="1:5">
      <c r="A9169" s="8" t="str">
        <f t="shared" si="158"/>
        <v>250036</v>
      </c>
      <c r="B9169" s="8" t="str">
        <f>"2561409012217"</f>
        <v>2561409012217</v>
      </c>
      <c r="C9169" s="8" t="s">
        <v>15</v>
      </c>
      <c r="D9169" s="9">
        <v>0</v>
      </c>
      <c r="E9169" s="8">
        <v>383</v>
      </c>
    </row>
    <row r="9170" s="3" customFormat="1" ht="18.75" spans="1:5">
      <c r="A9170" s="8" t="str">
        <f t="shared" si="158"/>
        <v>250036</v>
      </c>
      <c r="B9170" s="8" t="str">
        <f>"2561409012218"</f>
        <v>2561409012218</v>
      </c>
      <c r="C9170" s="8" t="s">
        <v>15</v>
      </c>
      <c r="D9170" s="9">
        <v>0</v>
      </c>
      <c r="E9170" s="8">
        <v>383</v>
      </c>
    </row>
    <row r="9171" s="3" customFormat="1" ht="18.75" spans="1:5">
      <c r="A9171" s="8" t="str">
        <f t="shared" si="158"/>
        <v>250036</v>
      </c>
      <c r="B9171" s="8" t="str">
        <f>"2561409012219"</f>
        <v>2561409012219</v>
      </c>
      <c r="C9171" s="8" t="s">
        <v>15</v>
      </c>
      <c r="D9171" s="9">
        <v>0</v>
      </c>
      <c r="E9171" s="8">
        <v>383</v>
      </c>
    </row>
    <row r="9172" s="3" customFormat="1" ht="18.75" spans="1:5">
      <c r="A9172" s="8" t="str">
        <f t="shared" si="158"/>
        <v>250036</v>
      </c>
      <c r="B9172" s="8" t="str">
        <f>"2561409012220"</f>
        <v>2561409012220</v>
      </c>
      <c r="C9172" s="8" t="s">
        <v>15</v>
      </c>
      <c r="D9172" s="9">
        <v>0</v>
      </c>
      <c r="E9172" s="8">
        <v>383</v>
      </c>
    </row>
    <row r="9173" s="3" customFormat="1" ht="18.75" spans="1:5">
      <c r="A9173" s="8" t="str">
        <f t="shared" si="158"/>
        <v>250036</v>
      </c>
      <c r="B9173" s="8" t="str">
        <f>"2561409012221"</f>
        <v>2561409012221</v>
      </c>
      <c r="C9173" s="8" t="s">
        <v>15</v>
      </c>
      <c r="D9173" s="9">
        <v>0</v>
      </c>
      <c r="E9173" s="8">
        <v>383</v>
      </c>
    </row>
    <row r="9174" s="3" customFormat="1" ht="18.75" spans="1:5">
      <c r="A9174" s="8" t="str">
        <f t="shared" si="158"/>
        <v>250036</v>
      </c>
      <c r="B9174" s="8" t="str">
        <f>"2561409012223"</f>
        <v>2561409012223</v>
      </c>
      <c r="C9174" s="8" t="s">
        <v>15</v>
      </c>
      <c r="D9174" s="9">
        <v>0</v>
      </c>
      <c r="E9174" s="8">
        <v>383</v>
      </c>
    </row>
    <row r="9175" s="3" customFormat="1" ht="18.75" spans="1:5">
      <c r="A9175" s="8" t="str">
        <f t="shared" si="158"/>
        <v>250036</v>
      </c>
      <c r="B9175" s="8" t="str">
        <f>"2561409012227"</f>
        <v>2561409012227</v>
      </c>
      <c r="C9175" s="8" t="s">
        <v>15</v>
      </c>
      <c r="D9175" s="9">
        <v>0</v>
      </c>
      <c r="E9175" s="8">
        <v>383</v>
      </c>
    </row>
    <row r="9176" s="3" customFormat="1" ht="18.75" spans="1:5">
      <c r="A9176" s="8" t="str">
        <f t="shared" si="158"/>
        <v>250036</v>
      </c>
      <c r="B9176" s="8" t="str">
        <f>"2561409012228"</f>
        <v>2561409012228</v>
      </c>
      <c r="C9176" s="8" t="s">
        <v>15</v>
      </c>
      <c r="D9176" s="9">
        <v>0</v>
      </c>
      <c r="E9176" s="8">
        <v>383</v>
      </c>
    </row>
    <row r="9177" s="3" customFormat="1" ht="18.75" spans="1:5">
      <c r="A9177" s="8" t="str">
        <f t="shared" si="158"/>
        <v>250036</v>
      </c>
      <c r="B9177" s="8" t="str">
        <f>"2561409012229"</f>
        <v>2561409012229</v>
      </c>
      <c r="C9177" s="8" t="s">
        <v>15</v>
      </c>
      <c r="D9177" s="9">
        <v>0</v>
      </c>
      <c r="E9177" s="8">
        <v>383</v>
      </c>
    </row>
    <row r="9178" s="3" customFormat="1" ht="18.75" spans="1:5">
      <c r="A9178" s="8" t="str">
        <f t="shared" si="158"/>
        <v>250036</v>
      </c>
      <c r="B9178" s="8" t="str">
        <f>"2561409012302"</f>
        <v>2561409012302</v>
      </c>
      <c r="C9178" s="8" t="s">
        <v>15</v>
      </c>
      <c r="D9178" s="9">
        <v>0</v>
      </c>
      <c r="E9178" s="8">
        <v>383</v>
      </c>
    </row>
    <row r="9179" s="3" customFormat="1" ht="18.75" spans="1:5">
      <c r="A9179" s="8" t="str">
        <f t="shared" ref="A9179:A9242" si="159">"250036"</f>
        <v>250036</v>
      </c>
      <c r="B9179" s="8" t="str">
        <f>"2561409012303"</f>
        <v>2561409012303</v>
      </c>
      <c r="C9179" s="8" t="s">
        <v>15</v>
      </c>
      <c r="D9179" s="9">
        <v>0</v>
      </c>
      <c r="E9179" s="8">
        <v>383</v>
      </c>
    </row>
    <row r="9180" s="3" customFormat="1" ht="18.75" spans="1:5">
      <c r="A9180" s="8" t="str">
        <f t="shared" si="159"/>
        <v>250036</v>
      </c>
      <c r="B9180" s="8" t="str">
        <f>"2561409012312"</f>
        <v>2561409012312</v>
      </c>
      <c r="C9180" s="8" t="s">
        <v>15</v>
      </c>
      <c r="D9180" s="9">
        <v>0</v>
      </c>
      <c r="E9180" s="8">
        <v>383</v>
      </c>
    </row>
    <row r="9181" s="3" customFormat="1" ht="18.75" spans="1:5">
      <c r="A9181" s="8" t="str">
        <f t="shared" si="159"/>
        <v>250036</v>
      </c>
      <c r="B9181" s="8" t="str">
        <f>"2561409012321"</f>
        <v>2561409012321</v>
      </c>
      <c r="C9181" s="8" t="s">
        <v>15</v>
      </c>
      <c r="D9181" s="9">
        <v>0</v>
      </c>
      <c r="E9181" s="8">
        <v>383</v>
      </c>
    </row>
    <row r="9182" s="3" customFormat="1" ht="18.75" spans="1:5">
      <c r="A9182" s="8" t="str">
        <f t="shared" si="159"/>
        <v>250036</v>
      </c>
      <c r="B9182" s="8" t="str">
        <f>"2561409012322"</f>
        <v>2561409012322</v>
      </c>
      <c r="C9182" s="8" t="s">
        <v>15</v>
      </c>
      <c r="D9182" s="9">
        <v>0</v>
      </c>
      <c r="E9182" s="8">
        <v>383</v>
      </c>
    </row>
    <row r="9183" s="3" customFormat="1" ht="18.75" spans="1:5">
      <c r="A9183" s="8" t="str">
        <f t="shared" si="159"/>
        <v>250036</v>
      </c>
      <c r="B9183" s="8" t="str">
        <f>"2561409012323"</f>
        <v>2561409012323</v>
      </c>
      <c r="C9183" s="8" t="s">
        <v>15</v>
      </c>
      <c r="D9183" s="9">
        <v>0</v>
      </c>
      <c r="E9183" s="8">
        <v>383</v>
      </c>
    </row>
    <row r="9184" s="3" customFormat="1" ht="18.75" spans="1:5">
      <c r="A9184" s="8" t="str">
        <f t="shared" si="159"/>
        <v>250036</v>
      </c>
      <c r="B9184" s="8" t="str">
        <f>"2561409012326"</f>
        <v>2561409012326</v>
      </c>
      <c r="C9184" s="8" t="s">
        <v>15</v>
      </c>
      <c r="D9184" s="9">
        <v>0</v>
      </c>
      <c r="E9184" s="8">
        <v>383</v>
      </c>
    </row>
    <row r="9185" s="3" customFormat="1" ht="18.75" spans="1:5">
      <c r="A9185" s="8" t="str">
        <f t="shared" si="159"/>
        <v>250036</v>
      </c>
      <c r="B9185" s="8" t="str">
        <f>"2561409012401"</f>
        <v>2561409012401</v>
      </c>
      <c r="C9185" s="8" t="s">
        <v>15</v>
      </c>
      <c r="D9185" s="9">
        <v>0</v>
      </c>
      <c r="E9185" s="8">
        <v>383</v>
      </c>
    </row>
    <row r="9186" s="3" customFormat="1" ht="18.75" spans="1:5">
      <c r="A9186" s="8" t="str">
        <f t="shared" si="159"/>
        <v>250036</v>
      </c>
      <c r="B9186" s="8" t="str">
        <f>"2561409012408"</f>
        <v>2561409012408</v>
      </c>
      <c r="C9186" s="8" t="s">
        <v>15</v>
      </c>
      <c r="D9186" s="9">
        <v>0</v>
      </c>
      <c r="E9186" s="8">
        <v>383</v>
      </c>
    </row>
    <row r="9187" s="3" customFormat="1" ht="18.75" spans="1:5">
      <c r="A9187" s="8" t="str">
        <f t="shared" si="159"/>
        <v>250036</v>
      </c>
      <c r="B9187" s="8" t="str">
        <f>"2561409012414"</f>
        <v>2561409012414</v>
      </c>
      <c r="C9187" s="8" t="s">
        <v>15</v>
      </c>
      <c r="D9187" s="9">
        <v>0</v>
      </c>
      <c r="E9187" s="8">
        <v>383</v>
      </c>
    </row>
    <row r="9188" s="3" customFormat="1" ht="18.75" spans="1:5">
      <c r="A9188" s="8" t="str">
        <f t="shared" si="159"/>
        <v>250036</v>
      </c>
      <c r="B9188" s="8" t="str">
        <f>"2561409012415"</f>
        <v>2561409012415</v>
      </c>
      <c r="C9188" s="8" t="s">
        <v>15</v>
      </c>
      <c r="D9188" s="9">
        <v>0</v>
      </c>
      <c r="E9188" s="8">
        <v>383</v>
      </c>
    </row>
    <row r="9189" s="3" customFormat="1" ht="18.75" spans="1:5">
      <c r="A9189" s="8" t="str">
        <f t="shared" si="159"/>
        <v>250036</v>
      </c>
      <c r="B9189" s="8" t="str">
        <f>"2561409012417"</f>
        <v>2561409012417</v>
      </c>
      <c r="C9189" s="8" t="s">
        <v>15</v>
      </c>
      <c r="D9189" s="9">
        <v>0</v>
      </c>
      <c r="E9189" s="8">
        <v>383</v>
      </c>
    </row>
    <row r="9190" s="3" customFormat="1" ht="18.75" spans="1:5">
      <c r="A9190" s="8" t="str">
        <f t="shared" si="159"/>
        <v>250036</v>
      </c>
      <c r="B9190" s="8" t="str">
        <f>"2561409012418"</f>
        <v>2561409012418</v>
      </c>
      <c r="C9190" s="8" t="s">
        <v>15</v>
      </c>
      <c r="D9190" s="9">
        <v>0</v>
      </c>
      <c r="E9190" s="8">
        <v>383</v>
      </c>
    </row>
    <row r="9191" s="3" customFormat="1" ht="18.75" spans="1:5">
      <c r="A9191" s="8" t="str">
        <f t="shared" si="159"/>
        <v>250036</v>
      </c>
      <c r="B9191" s="8" t="str">
        <f>"2561409012419"</f>
        <v>2561409012419</v>
      </c>
      <c r="C9191" s="8" t="s">
        <v>15</v>
      </c>
      <c r="D9191" s="9">
        <v>0</v>
      </c>
      <c r="E9191" s="8">
        <v>383</v>
      </c>
    </row>
    <row r="9192" s="3" customFormat="1" ht="18.75" spans="1:5">
      <c r="A9192" s="8" t="str">
        <f t="shared" si="159"/>
        <v>250036</v>
      </c>
      <c r="B9192" s="8" t="str">
        <f>"2561409012423"</f>
        <v>2561409012423</v>
      </c>
      <c r="C9192" s="8" t="s">
        <v>15</v>
      </c>
      <c r="D9192" s="9">
        <v>0</v>
      </c>
      <c r="E9192" s="8">
        <v>383</v>
      </c>
    </row>
    <row r="9193" s="3" customFormat="1" ht="18.75" spans="1:5">
      <c r="A9193" s="8" t="str">
        <f t="shared" si="159"/>
        <v>250036</v>
      </c>
      <c r="B9193" s="8" t="str">
        <f>"2561409012426"</f>
        <v>2561409012426</v>
      </c>
      <c r="C9193" s="8" t="s">
        <v>15</v>
      </c>
      <c r="D9193" s="9">
        <v>0</v>
      </c>
      <c r="E9193" s="8">
        <v>383</v>
      </c>
    </row>
    <row r="9194" s="3" customFormat="1" ht="18.75" spans="1:5">
      <c r="A9194" s="8" t="str">
        <f t="shared" si="159"/>
        <v>250036</v>
      </c>
      <c r="B9194" s="8" t="str">
        <f>"2561409012427"</f>
        <v>2561409012427</v>
      </c>
      <c r="C9194" s="8" t="s">
        <v>15</v>
      </c>
      <c r="D9194" s="9">
        <v>0</v>
      </c>
      <c r="E9194" s="8">
        <v>383</v>
      </c>
    </row>
    <row r="9195" s="3" customFormat="1" ht="18.75" spans="1:5">
      <c r="A9195" s="8" t="str">
        <f t="shared" si="159"/>
        <v>250036</v>
      </c>
      <c r="B9195" s="8" t="str">
        <f>"2561409012501"</f>
        <v>2561409012501</v>
      </c>
      <c r="C9195" s="8" t="s">
        <v>15</v>
      </c>
      <c r="D9195" s="9">
        <v>0</v>
      </c>
      <c r="E9195" s="8">
        <v>383</v>
      </c>
    </row>
    <row r="9196" s="3" customFormat="1" ht="18.75" spans="1:5">
      <c r="A9196" s="8" t="str">
        <f t="shared" si="159"/>
        <v>250036</v>
      </c>
      <c r="B9196" s="8" t="str">
        <f>"2561409012503"</f>
        <v>2561409012503</v>
      </c>
      <c r="C9196" s="8" t="s">
        <v>15</v>
      </c>
      <c r="D9196" s="9">
        <v>0</v>
      </c>
      <c r="E9196" s="8">
        <v>383</v>
      </c>
    </row>
    <row r="9197" s="3" customFormat="1" ht="18.75" spans="1:5">
      <c r="A9197" s="8" t="str">
        <f t="shared" si="159"/>
        <v>250036</v>
      </c>
      <c r="B9197" s="8" t="str">
        <f>"2561409012504"</f>
        <v>2561409012504</v>
      </c>
      <c r="C9197" s="8" t="s">
        <v>15</v>
      </c>
      <c r="D9197" s="9">
        <v>0</v>
      </c>
      <c r="E9197" s="8">
        <v>383</v>
      </c>
    </row>
    <row r="9198" s="3" customFormat="1" ht="18.75" spans="1:5">
      <c r="A9198" s="8" t="str">
        <f t="shared" si="159"/>
        <v>250036</v>
      </c>
      <c r="B9198" s="8" t="str">
        <f>"2561409012506"</f>
        <v>2561409012506</v>
      </c>
      <c r="C9198" s="8" t="s">
        <v>15</v>
      </c>
      <c r="D9198" s="9">
        <v>0</v>
      </c>
      <c r="E9198" s="8">
        <v>383</v>
      </c>
    </row>
    <row r="9199" s="3" customFormat="1" ht="18.75" spans="1:5">
      <c r="A9199" s="8" t="str">
        <f t="shared" si="159"/>
        <v>250036</v>
      </c>
      <c r="B9199" s="8" t="str">
        <f>"2561409012510"</f>
        <v>2561409012510</v>
      </c>
      <c r="C9199" s="8" t="s">
        <v>15</v>
      </c>
      <c r="D9199" s="9">
        <v>0</v>
      </c>
      <c r="E9199" s="8">
        <v>383</v>
      </c>
    </row>
    <row r="9200" s="3" customFormat="1" ht="18.75" spans="1:5">
      <c r="A9200" s="8" t="str">
        <f t="shared" si="159"/>
        <v>250036</v>
      </c>
      <c r="B9200" s="8" t="str">
        <f>"2561409012511"</f>
        <v>2561409012511</v>
      </c>
      <c r="C9200" s="8" t="s">
        <v>15</v>
      </c>
      <c r="D9200" s="9">
        <v>0</v>
      </c>
      <c r="E9200" s="8">
        <v>383</v>
      </c>
    </row>
    <row r="9201" s="3" customFormat="1" ht="18.75" spans="1:5">
      <c r="A9201" s="8" t="str">
        <f t="shared" si="159"/>
        <v>250036</v>
      </c>
      <c r="B9201" s="8" t="str">
        <f>"2561409012512"</f>
        <v>2561409012512</v>
      </c>
      <c r="C9201" s="8" t="s">
        <v>15</v>
      </c>
      <c r="D9201" s="9">
        <v>0</v>
      </c>
      <c r="E9201" s="8">
        <v>383</v>
      </c>
    </row>
    <row r="9202" s="3" customFormat="1" ht="18.75" spans="1:5">
      <c r="A9202" s="8" t="str">
        <f t="shared" si="159"/>
        <v>250036</v>
      </c>
      <c r="B9202" s="8" t="str">
        <f>"2561409012515"</f>
        <v>2561409012515</v>
      </c>
      <c r="C9202" s="8" t="s">
        <v>15</v>
      </c>
      <c r="D9202" s="9">
        <v>0</v>
      </c>
      <c r="E9202" s="8">
        <v>383</v>
      </c>
    </row>
    <row r="9203" s="3" customFormat="1" ht="18.75" spans="1:5">
      <c r="A9203" s="8" t="str">
        <f t="shared" si="159"/>
        <v>250036</v>
      </c>
      <c r="B9203" s="8" t="str">
        <f>"2561409012519"</f>
        <v>2561409012519</v>
      </c>
      <c r="C9203" s="8" t="s">
        <v>15</v>
      </c>
      <c r="D9203" s="9">
        <v>0</v>
      </c>
      <c r="E9203" s="8">
        <v>383</v>
      </c>
    </row>
    <row r="9204" s="3" customFormat="1" ht="18.75" spans="1:5">
      <c r="A9204" s="8" t="str">
        <f t="shared" si="159"/>
        <v>250036</v>
      </c>
      <c r="B9204" s="8" t="str">
        <f>"2561409012520"</f>
        <v>2561409012520</v>
      </c>
      <c r="C9204" s="8" t="s">
        <v>15</v>
      </c>
      <c r="D9204" s="9">
        <v>0</v>
      </c>
      <c r="E9204" s="8">
        <v>383</v>
      </c>
    </row>
    <row r="9205" s="3" customFormat="1" ht="18.75" spans="1:5">
      <c r="A9205" s="8" t="str">
        <f t="shared" si="159"/>
        <v>250036</v>
      </c>
      <c r="B9205" s="8" t="str">
        <f>"2561409012521"</f>
        <v>2561409012521</v>
      </c>
      <c r="C9205" s="8" t="s">
        <v>15</v>
      </c>
      <c r="D9205" s="9">
        <v>0</v>
      </c>
      <c r="E9205" s="8">
        <v>383</v>
      </c>
    </row>
    <row r="9206" s="3" customFormat="1" ht="18.75" spans="1:5">
      <c r="A9206" s="8" t="str">
        <f t="shared" si="159"/>
        <v>250036</v>
      </c>
      <c r="B9206" s="8" t="str">
        <f>"2561409012522"</f>
        <v>2561409012522</v>
      </c>
      <c r="C9206" s="8" t="s">
        <v>15</v>
      </c>
      <c r="D9206" s="9">
        <v>0</v>
      </c>
      <c r="E9206" s="8">
        <v>383</v>
      </c>
    </row>
    <row r="9207" s="3" customFormat="1" ht="18.75" spans="1:5">
      <c r="A9207" s="8" t="str">
        <f t="shared" si="159"/>
        <v>250036</v>
      </c>
      <c r="B9207" s="8" t="str">
        <f>"2561409012523"</f>
        <v>2561409012523</v>
      </c>
      <c r="C9207" s="8" t="s">
        <v>15</v>
      </c>
      <c r="D9207" s="9">
        <v>0</v>
      </c>
      <c r="E9207" s="8">
        <v>383</v>
      </c>
    </row>
    <row r="9208" s="3" customFormat="1" ht="18.75" spans="1:5">
      <c r="A9208" s="8" t="str">
        <f t="shared" si="159"/>
        <v>250036</v>
      </c>
      <c r="B9208" s="8" t="str">
        <f>"2561409012524"</f>
        <v>2561409012524</v>
      </c>
      <c r="C9208" s="8" t="s">
        <v>15</v>
      </c>
      <c r="D9208" s="9">
        <v>0</v>
      </c>
      <c r="E9208" s="8">
        <v>383</v>
      </c>
    </row>
    <row r="9209" s="3" customFormat="1" ht="18.75" spans="1:5">
      <c r="A9209" s="8" t="str">
        <f t="shared" si="159"/>
        <v>250036</v>
      </c>
      <c r="B9209" s="8" t="str">
        <f>"2561409012526"</f>
        <v>2561409012526</v>
      </c>
      <c r="C9209" s="8" t="s">
        <v>15</v>
      </c>
      <c r="D9209" s="9">
        <v>0</v>
      </c>
      <c r="E9209" s="8">
        <v>383</v>
      </c>
    </row>
    <row r="9210" s="3" customFormat="1" ht="18.75" spans="1:5">
      <c r="A9210" s="8" t="str">
        <f t="shared" si="159"/>
        <v>250036</v>
      </c>
      <c r="B9210" s="8" t="str">
        <f>"2561409012528"</f>
        <v>2561409012528</v>
      </c>
      <c r="C9210" s="8" t="s">
        <v>15</v>
      </c>
      <c r="D9210" s="9">
        <v>0</v>
      </c>
      <c r="E9210" s="8">
        <v>383</v>
      </c>
    </row>
    <row r="9211" s="3" customFormat="1" ht="18.75" spans="1:5">
      <c r="A9211" s="8" t="str">
        <f t="shared" si="159"/>
        <v>250036</v>
      </c>
      <c r="B9211" s="8" t="str">
        <f>"2561409012605"</f>
        <v>2561409012605</v>
      </c>
      <c r="C9211" s="8" t="s">
        <v>15</v>
      </c>
      <c r="D9211" s="9">
        <v>0</v>
      </c>
      <c r="E9211" s="8">
        <v>383</v>
      </c>
    </row>
    <row r="9212" s="3" customFormat="1" ht="18.75" spans="1:5">
      <c r="A9212" s="8" t="str">
        <f t="shared" si="159"/>
        <v>250036</v>
      </c>
      <c r="B9212" s="8" t="str">
        <f>"2561409012607"</f>
        <v>2561409012607</v>
      </c>
      <c r="C9212" s="8" t="s">
        <v>15</v>
      </c>
      <c r="D9212" s="9">
        <v>0</v>
      </c>
      <c r="E9212" s="8">
        <v>383</v>
      </c>
    </row>
    <row r="9213" s="3" customFormat="1" ht="18.75" spans="1:5">
      <c r="A9213" s="8" t="str">
        <f t="shared" si="159"/>
        <v>250036</v>
      </c>
      <c r="B9213" s="8" t="str">
        <f>"2561409012608"</f>
        <v>2561409012608</v>
      </c>
      <c r="C9213" s="8" t="s">
        <v>15</v>
      </c>
      <c r="D9213" s="9">
        <v>0</v>
      </c>
      <c r="E9213" s="8">
        <v>383</v>
      </c>
    </row>
    <row r="9214" s="3" customFormat="1" ht="18.75" spans="1:5">
      <c r="A9214" s="8" t="str">
        <f t="shared" si="159"/>
        <v>250036</v>
      </c>
      <c r="B9214" s="8" t="str">
        <f>"2561409012612"</f>
        <v>2561409012612</v>
      </c>
      <c r="C9214" s="8" t="s">
        <v>15</v>
      </c>
      <c r="D9214" s="9">
        <v>0</v>
      </c>
      <c r="E9214" s="8">
        <v>383</v>
      </c>
    </row>
    <row r="9215" s="3" customFormat="1" ht="18.75" spans="1:5">
      <c r="A9215" s="8" t="str">
        <f t="shared" si="159"/>
        <v>250036</v>
      </c>
      <c r="B9215" s="8" t="str">
        <f>"2561409012616"</f>
        <v>2561409012616</v>
      </c>
      <c r="C9215" s="8" t="s">
        <v>15</v>
      </c>
      <c r="D9215" s="9">
        <v>0</v>
      </c>
      <c r="E9215" s="8">
        <v>383</v>
      </c>
    </row>
    <row r="9216" s="3" customFormat="1" ht="18.75" spans="1:5">
      <c r="A9216" s="8" t="str">
        <f t="shared" si="159"/>
        <v>250036</v>
      </c>
      <c r="B9216" s="8" t="str">
        <f>"2561409012617"</f>
        <v>2561409012617</v>
      </c>
      <c r="C9216" s="8" t="s">
        <v>15</v>
      </c>
      <c r="D9216" s="9">
        <v>0</v>
      </c>
      <c r="E9216" s="8">
        <v>383</v>
      </c>
    </row>
    <row r="9217" s="3" customFormat="1" ht="18.75" spans="1:5">
      <c r="A9217" s="8" t="str">
        <f t="shared" si="159"/>
        <v>250036</v>
      </c>
      <c r="B9217" s="8" t="str">
        <f>"2561409012618"</f>
        <v>2561409012618</v>
      </c>
      <c r="C9217" s="8" t="s">
        <v>15</v>
      </c>
      <c r="D9217" s="9">
        <v>0</v>
      </c>
      <c r="E9217" s="8">
        <v>383</v>
      </c>
    </row>
    <row r="9218" s="3" customFormat="1" ht="18.75" spans="1:5">
      <c r="A9218" s="8" t="str">
        <f t="shared" si="159"/>
        <v>250036</v>
      </c>
      <c r="B9218" s="8" t="str">
        <f>"2561409012619"</f>
        <v>2561409012619</v>
      </c>
      <c r="C9218" s="8" t="s">
        <v>15</v>
      </c>
      <c r="D9218" s="9">
        <v>0</v>
      </c>
      <c r="E9218" s="8">
        <v>383</v>
      </c>
    </row>
    <row r="9219" s="3" customFormat="1" ht="18.75" spans="1:5">
      <c r="A9219" s="8" t="str">
        <f t="shared" si="159"/>
        <v>250036</v>
      </c>
      <c r="B9219" s="8" t="str">
        <f>"2561409012621"</f>
        <v>2561409012621</v>
      </c>
      <c r="C9219" s="8" t="s">
        <v>15</v>
      </c>
      <c r="D9219" s="9">
        <v>0</v>
      </c>
      <c r="E9219" s="8">
        <v>383</v>
      </c>
    </row>
    <row r="9220" s="3" customFormat="1" ht="18.75" spans="1:5">
      <c r="A9220" s="8" t="str">
        <f t="shared" si="159"/>
        <v>250036</v>
      </c>
      <c r="B9220" s="8" t="str">
        <f>"2561409012622"</f>
        <v>2561409012622</v>
      </c>
      <c r="C9220" s="8" t="s">
        <v>15</v>
      </c>
      <c r="D9220" s="9">
        <v>0</v>
      </c>
      <c r="E9220" s="8">
        <v>383</v>
      </c>
    </row>
    <row r="9221" s="3" customFormat="1" ht="18.75" spans="1:5">
      <c r="A9221" s="8" t="str">
        <f t="shared" si="159"/>
        <v>250036</v>
      </c>
      <c r="B9221" s="8" t="str">
        <f>"2561409012623"</f>
        <v>2561409012623</v>
      </c>
      <c r="C9221" s="8" t="s">
        <v>15</v>
      </c>
      <c r="D9221" s="9">
        <v>0</v>
      </c>
      <c r="E9221" s="8">
        <v>383</v>
      </c>
    </row>
    <row r="9222" s="3" customFormat="1" ht="18.75" spans="1:5">
      <c r="A9222" s="8" t="str">
        <f t="shared" si="159"/>
        <v>250036</v>
      </c>
      <c r="B9222" s="8" t="str">
        <f>"2561409012624"</f>
        <v>2561409012624</v>
      </c>
      <c r="C9222" s="8" t="s">
        <v>15</v>
      </c>
      <c r="D9222" s="9">
        <v>0</v>
      </c>
      <c r="E9222" s="8">
        <v>383</v>
      </c>
    </row>
    <row r="9223" s="3" customFormat="1" ht="18.75" spans="1:5">
      <c r="A9223" s="8" t="str">
        <f t="shared" si="159"/>
        <v>250036</v>
      </c>
      <c r="B9223" s="8" t="str">
        <f>"2561409012625"</f>
        <v>2561409012625</v>
      </c>
      <c r="C9223" s="8" t="s">
        <v>15</v>
      </c>
      <c r="D9223" s="9">
        <v>0</v>
      </c>
      <c r="E9223" s="8">
        <v>383</v>
      </c>
    </row>
    <row r="9224" s="3" customFormat="1" ht="18.75" spans="1:5">
      <c r="A9224" s="8" t="str">
        <f t="shared" si="159"/>
        <v>250036</v>
      </c>
      <c r="B9224" s="8" t="str">
        <f>"2561409012629"</f>
        <v>2561409012629</v>
      </c>
      <c r="C9224" s="8" t="s">
        <v>15</v>
      </c>
      <c r="D9224" s="9">
        <v>0</v>
      </c>
      <c r="E9224" s="8">
        <v>383</v>
      </c>
    </row>
    <row r="9225" s="3" customFormat="1" ht="18.75" spans="1:5">
      <c r="A9225" s="8" t="str">
        <f t="shared" si="159"/>
        <v>250036</v>
      </c>
      <c r="B9225" s="8" t="str">
        <f>"2561409012702"</f>
        <v>2561409012702</v>
      </c>
      <c r="C9225" s="8" t="s">
        <v>15</v>
      </c>
      <c r="D9225" s="9">
        <v>0</v>
      </c>
      <c r="E9225" s="8">
        <v>383</v>
      </c>
    </row>
    <row r="9226" s="3" customFormat="1" ht="18.75" spans="1:5">
      <c r="A9226" s="8" t="str">
        <f t="shared" si="159"/>
        <v>250036</v>
      </c>
      <c r="B9226" s="8" t="str">
        <f>"2561409012703"</f>
        <v>2561409012703</v>
      </c>
      <c r="C9226" s="8" t="s">
        <v>15</v>
      </c>
      <c r="D9226" s="9">
        <v>0</v>
      </c>
      <c r="E9226" s="8">
        <v>383</v>
      </c>
    </row>
    <row r="9227" s="3" customFormat="1" ht="18.75" spans="1:5">
      <c r="A9227" s="8" t="str">
        <f t="shared" si="159"/>
        <v>250036</v>
      </c>
      <c r="B9227" s="8" t="str">
        <f>"2561409012706"</f>
        <v>2561409012706</v>
      </c>
      <c r="C9227" s="8" t="s">
        <v>15</v>
      </c>
      <c r="D9227" s="9">
        <v>0</v>
      </c>
      <c r="E9227" s="8">
        <v>383</v>
      </c>
    </row>
    <row r="9228" s="3" customFormat="1" ht="18.75" spans="1:5">
      <c r="A9228" s="8" t="str">
        <f t="shared" si="159"/>
        <v>250036</v>
      </c>
      <c r="B9228" s="8" t="str">
        <f>"2561409012710"</f>
        <v>2561409012710</v>
      </c>
      <c r="C9228" s="8" t="s">
        <v>15</v>
      </c>
      <c r="D9228" s="9">
        <v>0</v>
      </c>
      <c r="E9228" s="8">
        <v>383</v>
      </c>
    </row>
    <row r="9229" s="3" customFormat="1" ht="18.75" spans="1:5">
      <c r="A9229" s="8" t="str">
        <f t="shared" si="159"/>
        <v>250036</v>
      </c>
      <c r="B9229" s="8" t="str">
        <f>"2561409012711"</f>
        <v>2561409012711</v>
      </c>
      <c r="C9229" s="8" t="s">
        <v>15</v>
      </c>
      <c r="D9229" s="9">
        <v>0</v>
      </c>
      <c r="E9229" s="8">
        <v>383</v>
      </c>
    </row>
    <row r="9230" s="3" customFormat="1" ht="18.75" spans="1:5">
      <c r="A9230" s="8" t="str">
        <f t="shared" si="159"/>
        <v>250036</v>
      </c>
      <c r="B9230" s="8" t="str">
        <f>"2561409012712"</f>
        <v>2561409012712</v>
      </c>
      <c r="C9230" s="8" t="s">
        <v>15</v>
      </c>
      <c r="D9230" s="9">
        <v>0</v>
      </c>
      <c r="E9230" s="8">
        <v>383</v>
      </c>
    </row>
    <row r="9231" s="3" customFormat="1" ht="18.75" spans="1:5">
      <c r="A9231" s="8" t="str">
        <f t="shared" si="159"/>
        <v>250036</v>
      </c>
      <c r="B9231" s="8" t="str">
        <f>"2561409012714"</f>
        <v>2561409012714</v>
      </c>
      <c r="C9231" s="8" t="s">
        <v>15</v>
      </c>
      <c r="D9231" s="9">
        <v>0</v>
      </c>
      <c r="E9231" s="8">
        <v>383</v>
      </c>
    </row>
    <row r="9232" s="3" customFormat="1" ht="18.75" spans="1:5">
      <c r="A9232" s="8" t="str">
        <f t="shared" si="159"/>
        <v>250036</v>
      </c>
      <c r="B9232" s="8" t="str">
        <f>"2561409012718"</f>
        <v>2561409012718</v>
      </c>
      <c r="C9232" s="8" t="s">
        <v>15</v>
      </c>
      <c r="D9232" s="9">
        <v>0</v>
      </c>
      <c r="E9232" s="8">
        <v>383</v>
      </c>
    </row>
    <row r="9233" s="3" customFormat="1" ht="18.75" spans="1:5">
      <c r="A9233" s="8" t="str">
        <f t="shared" si="159"/>
        <v>250036</v>
      </c>
      <c r="B9233" s="8" t="str">
        <f>"2561409012719"</f>
        <v>2561409012719</v>
      </c>
      <c r="C9233" s="8" t="s">
        <v>15</v>
      </c>
      <c r="D9233" s="9">
        <v>0</v>
      </c>
      <c r="E9233" s="8">
        <v>383</v>
      </c>
    </row>
    <row r="9234" s="3" customFormat="1" ht="18.75" spans="1:5">
      <c r="A9234" s="8" t="str">
        <f t="shared" si="159"/>
        <v>250036</v>
      </c>
      <c r="B9234" s="8" t="str">
        <f>"2561409012723"</f>
        <v>2561409012723</v>
      </c>
      <c r="C9234" s="8" t="s">
        <v>15</v>
      </c>
      <c r="D9234" s="9">
        <v>0</v>
      </c>
      <c r="E9234" s="8">
        <v>383</v>
      </c>
    </row>
    <row r="9235" s="3" customFormat="1" ht="18.75" spans="1:5">
      <c r="A9235" s="8" t="str">
        <f t="shared" si="159"/>
        <v>250036</v>
      </c>
      <c r="B9235" s="8" t="str">
        <f>"2561409012724"</f>
        <v>2561409012724</v>
      </c>
      <c r="C9235" s="8" t="s">
        <v>15</v>
      </c>
      <c r="D9235" s="9">
        <v>0</v>
      </c>
      <c r="E9235" s="8">
        <v>383</v>
      </c>
    </row>
    <row r="9236" s="3" customFormat="1" ht="18.75" spans="1:5">
      <c r="A9236" s="8" t="str">
        <f t="shared" si="159"/>
        <v>250036</v>
      </c>
      <c r="B9236" s="8" t="str">
        <f>"2561409012729"</f>
        <v>2561409012729</v>
      </c>
      <c r="C9236" s="8" t="s">
        <v>15</v>
      </c>
      <c r="D9236" s="9">
        <v>0</v>
      </c>
      <c r="E9236" s="8">
        <v>383</v>
      </c>
    </row>
    <row r="9237" s="3" customFormat="1" ht="18.75" spans="1:5">
      <c r="A9237" s="8" t="str">
        <f t="shared" si="159"/>
        <v>250036</v>
      </c>
      <c r="B9237" s="8" t="str">
        <f>"2561409012802"</f>
        <v>2561409012802</v>
      </c>
      <c r="C9237" s="8" t="s">
        <v>15</v>
      </c>
      <c r="D9237" s="9">
        <v>0</v>
      </c>
      <c r="E9237" s="8">
        <v>383</v>
      </c>
    </row>
    <row r="9238" s="3" customFormat="1" ht="18.75" spans="1:5">
      <c r="A9238" s="8" t="str">
        <f t="shared" si="159"/>
        <v>250036</v>
      </c>
      <c r="B9238" s="8" t="str">
        <f>"2561409012808"</f>
        <v>2561409012808</v>
      </c>
      <c r="C9238" s="8" t="s">
        <v>15</v>
      </c>
      <c r="D9238" s="9">
        <v>0</v>
      </c>
      <c r="E9238" s="8">
        <v>383</v>
      </c>
    </row>
    <row r="9239" s="3" customFormat="1" ht="18.75" spans="1:5">
      <c r="A9239" s="8" t="str">
        <f t="shared" si="159"/>
        <v>250036</v>
      </c>
      <c r="B9239" s="8" t="str">
        <f>"2561409012812"</f>
        <v>2561409012812</v>
      </c>
      <c r="C9239" s="8" t="s">
        <v>15</v>
      </c>
      <c r="D9239" s="9">
        <v>0</v>
      </c>
      <c r="E9239" s="8">
        <v>383</v>
      </c>
    </row>
    <row r="9240" s="3" customFormat="1" ht="18.75" spans="1:5">
      <c r="A9240" s="8" t="str">
        <f t="shared" si="159"/>
        <v>250036</v>
      </c>
      <c r="B9240" s="8" t="str">
        <f>"2561409012813"</f>
        <v>2561409012813</v>
      </c>
      <c r="C9240" s="8" t="s">
        <v>15</v>
      </c>
      <c r="D9240" s="9">
        <v>0</v>
      </c>
      <c r="E9240" s="8">
        <v>383</v>
      </c>
    </row>
    <row r="9241" s="3" customFormat="1" ht="18.75" spans="1:5">
      <c r="A9241" s="8" t="str">
        <f t="shared" si="159"/>
        <v>250036</v>
      </c>
      <c r="B9241" s="8" t="str">
        <f>"2561409012814"</f>
        <v>2561409012814</v>
      </c>
      <c r="C9241" s="8" t="s">
        <v>15</v>
      </c>
      <c r="D9241" s="9">
        <v>0</v>
      </c>
      <c r="E9241" s="8">
        <v>383</v>
      </c>
    </row>
    <row r="9242" s="3" customFormat="1" ht="18.75" spans="1:5">
      <c r="A9242" s="8" t="str">
        <f t="shared" si="159"/>
        <v>250036</v>
      </c>
      <c r="B9242" s="8" t="str">
        <f>"2561409012815"</f>
        <v>2561409012815</v>
      </c>
      <c r="C9242" s="8" t="s">
        <v>15</v>
      </c>
      <c r="D9242" s="9">
        <v>0</v>
      </c>
      <c r="E9242" s="8">
        <v>383</v>
      </c>
    </row>
    <row r="9243" s="3" customFormat="1" ht="18.75" spans="1:5">
      <c r="A9243" s="8" t="str">
        <f t="shared" ref="A9243:A9306" si="160">"250036"</f>
        <v>250036</v>
      </c>
      <c r="B9243" s="8" t="str">
        <f>"2561409012817"</f>
        <v>2561409012817</v>
      </c>
      <c r="C9243" s="8" t="s">
        <v>15</v>
      </c>
      <c r="D9243" s="9">
        <v>0</v>
      </c>
      <c r="E9243" s="8">
        <v>383</v>
      </c>
    </row>
    <row r="9244" s="3" customFormat="1" ht="18.75" spans="1:5">
      <c r="A9244" s="8" t="str">
        <f t="shared" si="160"/>
        <v>250036</v>
      </c>
      <c r="B9244" s="8" t="str">
        <f>"2561409012819"</f>
        <v>2561409012819</v>
      </c>
      <c r="C9244" s="8" t="s">
        <v>15</v>
      </c>
      <c r="D9244" s="9">
        <v>0</v>
      </c>
      <c r="E9244" s="8">
        <v>383</v>
      </c>
    </row>
    <row r="9245" s="3" customFormat="1" ht="18.75" spans="1:5">
      <c r="A9245" s="8" t="str">
        <f t="shared" si="160"/>
        <v>250036</v>
      </c>
      <c r="B9245" s="8" t="str">
        <f>"2561409012821"</f>
        <v>2561409012821</v>
      </c>
      <c r="C9245" s="8" t="s">
        <v>15</v>
      </c>
      <c r="D9245" s="9">
        <v>0</v>
      </c>
      <c r="E9245" s="8">
        <v>383</v>
      </c>
    </row>
    <row r="9246" s="3" customFormat="1" ht="18.75" spans="1:5">
      <c r="A9246" s="8" t="str">
        <f t="shared" si="160"/>
        <v>250036</v>
      </c>
      <c r="B9246" s="8" t="str">
        <f>"2561409012822"</f>
        <v>2561409012822</v>
      </c>
      <c r="C9246" s="8" t="s">
        <v>15</v>
      </c>
      <c r="D9246" s="9">
        <v>0</v>
      </c>
      <c r="E9246" s="8">
        <v>383</v>
      </c>
    </row>
    <row r="9247" s="3" customFormat="1" ht="18.75" spans="1:5">
      <c r="A9247" s="8" t="str">
        <f t="shared" si="160"/>
        <v>250036</v>
      </c>
      <c r="B9247" s="8" t="str">
        <f>"2561409012823"</f>
        <v>2561409012823</v>
      </c>
      <c r="C9247" s="8" t="s">
        <v>15</v>
      </c>
      <c r="D9247" s="9">
        <v>0</v>
      </c>
      <c r="E9247" s="8">
        <v>383</v>
      </c>
    </row>
    <row r="9248" s="3" customFormat="1" ht="18.75" spans="1:5">
      <c r="A9248" s="8" t="str">
        <f t="shared" si="160"/>
        <v>250036</v>
      </c>
      <c r="B9248" s="8" t="str">
        <f>"2561409012825"</f>
        <v>2561409012825</v>
      </c>
      <c r="C9248" s="8" t="s">
        <v>15</v>
      </c>
      <c r="D9248" s="9">
        <v>0</v>
      </c>
      <c r="E9248" s="8">
        <v>383</v>
      </c>
    </row>
    <row r="9249" s="3" customFormat="1" ht="18.75" spans="1:5">
      <c r="A9249" s="8" t="str">
        <f t="shared" si="160"/>
        <v>250036</v>
      </c>
      <c r="B9249" s="8" t="str">
        <f>"2561409012826"</f>
        <v>2561409012826</v>
      </c>
      <c r="C9249" s="8" t="s">
        <v>15</v>
      </c>
      <c r="D9249" s="9">
        <v>0</v>
      </c>
      <c r="E9249" s="8">
        <v>383</v>
      </c>
    </row>
    <row r="9250" s="3" customFormat="1" ht="18.75" spans="1:5">
      <c r="A9250" s="8" t="str">
        <f t="shared" si="160"/>
        <v>250036</v>
      </c>
      <c r="B9250" s="8" t="str">
        <f>"2561409012827"</f>
        <v>2561409012827</v>
      </c>
      <c r="C9250" s="8" t="s">
        <v>15</v>
      </c>
      <c r="D9250" s="9">
        <v>0</v>
      </c>
      <c r="E9250" s="8">
        <v>383</v>
      </c>
    </row>
    <row r="9251" s="3" customFormat="1" ht="18.75" spans="1:5">
      <c r="A9251" s="8" t="str">
        <f t="shared" si="160"/>
        <v>250036</v>
      </c>
      <c r="B9251" s="8" t="str">
        <f>"2561409012828"</f>
        <v>2561409012828</v>
      </c>
      <c r="C9251" s="8" t="s">
        <v>15</v>
      </c>
      <c r="D9251" s="9">
        <v>0</v>
      </c>
      <c r="E9251" s="8">
        <v>383</v>
      </c>
    </row>
    <row r="9252" s="3" customFormat="1" ht="18.75" spans="1:5">
      <c r="A9252" s="8" t="str">
        <f t="shared" si="160"/>
        <v>250036</v>
      </c>
      <c r="B9252" s="8" t="str">
        <f>"2561409012904"</f>
        <v>2561409012904</v>
      </c>
      <c r="C9252" s="8" t="s">
        <v>15</v>
      </c>
      <c r="D9252" s="9">
        <v>0</v>
      </c>
      <c r="E9252" s="8">
        <v>383</v>
      </c>
    </row>
    <row r="9253" s="3" customFormat="1" ht="18.75" spans="1:5">
      <c r="A9253" s="8" t="str">
        <f t="shared" si="160"/>
        <v>250036</v>
      </c>
      <c r="B9253" s="8" t="str">
        <f>"2561409012906"</f>
        <v>2561409012906</v>
      </c>
      <c r="C9253" s="8" t="s">
        <v>15</v>
      </c>
      <c r="D9253" s="9">
        <v>0</v>
      </c>
      <c r="E9253" s="8">
        <v>383</v>
      </c>
    </row>
    <row r="9254" s="3" customFormat="1" ht="18.75" spans="1:5">
      <c r="A9254" s="8" t="str">
        <f t="shared" si="160"/>
        <v>250036</v>
      </c>
      <c r="B9254" s="8" t="str">
        <f>"2561409012907"</f>
        <v>2561409012907</v>
      </c>
      <c r="C9254" s="8" t="s">
        <v>15</v>
      </c>
      <c r="D9254" s="9">
        <v>0</v>
      </c>
      <c r="E9254" s="8">
        <v>383</v>
      </c>
    </row>
    <row r="9255" s="3" customFormat="1" ht="18.75" spans="1:5">
      <c r="A9255" s="8" t="str">
        <f t="shared" si="160"/>
        <v>250036</v>
      </c>
      <c r="B9255" s="8" t="str">
        <f>"2561409012909"</f>
        <v>2561409012909</v>
      </c>
      <c r="C9255" s="8" t="s">
        <v>15</v>
      </c>
      <c r="D9255" s="9">
        <v>0</v>
      </c>
      <c r="E9255" s="8">
        <v>383</v>
      </c>
    </row>
    <row r="9256" s="3" customFormat="1" ht="18.75" spans="1:5">
      <c r="A9256" s="8" t="str">
        <f t="shared" si="160"/>
        <v>250036</v>
      </c>
      <c r="B9256" s="8" t="str">
        <f>"2561409012910"</f>
        <v>2561409012910</v>
      </c>
      <c r="C9256" s="8" t="s">
        <v>15</v>
      </c>
      <c r="D9256" s="9">
        <v>0</v>
      </c>
      <c r="E9256" s="8">
        <v>383</v>
      </c>
    </row>
    <row r="9257" s="3" customFormat="1" ht="18.75" spans="1:5">
      <c r="A9257" s="8" t="str">
        <f t="shared" si="160"/>
        <v>250036</v>
      </c>
      <c r="B9257" s="8" t="str">
        <f>"2561409012917"</f>
        <v>2561409012917</v>
      </c>
      <c r="C9257" s="8" t="s">
        <v>15</v>
      </c>
      <c r="D9257" s="9">
        <v>0</v>
      </c>
      <c r="E9257" s="8">
        <v>383</v>
      </c>
    </row>
    <row r="9258" s="3" customFormat="1" ht="18.75" spans="1:5">
      <c r="A9258" s="8" t="str">
        <f t="shared" si="160"/>
        <v>250036</v>
      </c>
      <c r="B9258" s="8" t="str">
        <f>"2561409012919"</f>
        <v>2561409012919</v>
      </c>
      <c r="C9258" s="8" t="s">
        <v>15</v>
      </c>
      <c r="D9258" s="9">
        <v>0</v>
      </c>
      <c r="E9258" s="8">
        <v>383</v>
      </c>
    </row>
    <row r="9259" s="3" customFormat="1" ht="18.75" spans="1:5">
      <c r="A9259" s="8" t="str">
        <f t="shared" si="160"/>
        <v>250036</v>
      </c>
      <c r="B9259" s="8" t="str">
        <f>"2561409012921"</f>
        <v>2561409012921</v>
      </c>
      <c r="C9259" s="8" t="s">
        <v>15</v>
      </c>
      <c r="D9259" s="9">
        <v>0</v>
      </c>
      <c r="E9259" s="8">
        <v>383</v>
      </c>
    </row>
    <row r="9260" s="3" customFormat="1" ht="18.75" spans="1:5">
      <c r="A9260" s="8" t="str">
        <f t="shared" si="160"/>
        <v>250036</v>
      </c>
      <c r="B9260" s="8" t="str">
        <f>"2561409012925"</f>
        <v>2561409012925</v>
      </c>
      <c r="C9260" s="8" t="s">
        <v>15</v>
      </c>
      <c r="D9260" s="9">
        <v>0</v>
      </c>
      <c r="E9260" s="8">
        <v>383</v>
      </c>
    </row>
    <row r="9261" s="3" customFormat="1" ht="18.75" spans="1:5">
      <c r="A9261" s="8" t="str">
        <f t="shared" si="160"/>
        <v>250036</v>
      </c>
      <c r="B9261" s="8" t="str">
        <f>"2561409012926"</f>
        <v>2561409012926</v>
      </c>
      <c r="C9261" s="8" t="s">
        <v>15</v>
      </c>
      <c r="D9261" s="9">
        <v>0</v>
      </c>
      <c r="E9261" s="8">
        <v>383</v>
      </c>
    </row>
    <row r="9262" s="3" customFormat="1" ht="18.75" spans="1:5">
      <c r="A9262" s="8" t="str">
        <f t="shared" si="160"/>
        <v>250036</v>
      </c>
      <c r="B9262" s="8" t="str">
        <f>"2561409012927"</f>
        <v>2561409012927</v>
      </c>
      <c r="C9262" s="8" t="s">
        <v>15</v>
      </c>
      <c r="D9262" s="9">
        <v>0</v>
      </c>
      <c r="E9262" s="8">
        <v>383</v>
      </c>
    </row>
    <row r="9263" s="3" customFormat="1" ht="18.75" spans="1:5">
      <c r="A9263" s="8" t="str">
        <f t="shared" si="160"/>
        <v>250036</v>
      </c>
      <c r="B9263" s="8" t="str">
        <f>"2561409012928"</f>
        <v>2561409012928</v>
      </c>
      <c r="C9263" s="8" t="s">
        <v>15</v>
      </c>
      <c r="D9263" s="9">
        <v>0</v>
      </c>
      <c r="E9263" s="8">
        <v>383</v>
      </c>
    </row>
    <row r="9264" s="3" customFormat="1" ht="18.75" spans="1:5">
      <c r="A9264" s="8" t="str">
        <f t="shared" si="160"/>
        <v>250036</v>
      </c>
      <c r="B9264" s="8" t="str">
        <f>"2561409012929"</f>
        <v>2561409012929</v>
      </c>
      <c r="C9264" s="8" t="s">
        <v>15</v>
      </c>
      <c r="D9264" s="9">
        <v>0</v>
      </c>
      <c r="E9264" s="8">
        <v>383</v>
      </c>
    </row>
    <row r="9265" s="3" customFormat="1" ht="18.75" spans="1:5">
      <c r="A9265" s="8" t="str">
        <f t="shared" si="160"/>
        <v>250036</v>
      </c>
      <c r="B9265" s="8" t="str">
        <f>"2561409013002"</f>
        <v>2561409013002</v>
      </c>
      <c r="C9265" s="8" t="s">
        <v>15</v>
      </c>
      <c r="D9265" s="9">
        <v>0</v>
      </c>
      <c r="E9265" s="8">
        <v>383</v>
      </c>
    </row>
    <row r="9266" s="3" customFormat="1" ht="18.75" spans="1:5">
      <c r="A9266" s="8" t="str">
        <f t="shared" si="160"/>
        <v>250036</v>
      </c>
      <c r="B9266" s="8" t="str">
        <f>"2561409013003"</f>
        <v>2561409013003</v>
      </c>
      <c r="C9266" s="8" t="s">
        <v>15</v>
      </c>
      <c r="D9266" s="9">
        <v>0</v>
      </c>
      <c r="E9266" s="8">
        <v>383</v>
      </c>
    </row>
    <row r="9267" s="3" customFormat="1" ht="18.75" spans="1:5">
      <c r="A9267" s="8" t="str">
        <f t="shared" si="160"/>
        <v>250036</v>
      </c>
      <c r="B9267" s="8" t="str">
        <f>"2561409013004"</f>
        <v>2561409013004</v>
      </c>
      <c r="C9267" s="8" t="s">
        <v>15</v>
      </c>
      <c r="D9267" s="9">
        <v>0</v>
      </c>
      <c r="E9267" s="8">
        <v>383</v>
      </c>
    </row>
    <row r="9268" s="3" customFormat="1" ht="18.75" spans="1:5">
      <c r="A9268" s="8" t="str">
        <f t="shared" si="160"/>
        <v>250036</v>
      </c>
      <c r="B9268" s="8" t="str">
        <f>"2561409013008"</f>
        <v>2561409013008</v>
      </c>
      <c r="C9268" s="8" t="s">
        <v>15</v>
      </c>
      <c r="D9268" s="9">
        <v>0</v>
      </c>
      <c r="E9268" s="8">
        <v>383</v>
      </c>
    </row>
    <row r="9269" s="3" customFormat="1" ht="18.75" spans="1:5">
      <c r="A9269" s="8" t="str">
        <f t="shared" si="160"/>
        <v>250036</v>
      </c>
      <c r="B9269" s="8" t="str">
        <f>"2561409013016"</f>
        <v>2561409013016</v>
      </c>
      <c r="C9269" s="8" t="s">
        <v>15</v>
      </c>
      <c r="D9269" s="9">
        <v>0</v>
      </c>
      <c r="E9269" s="8">
        <v>383</v>
      </c>
    </row>
    <row r="9270" s="3" customFormat="1" ht="18.75" spans="1:5">
      <c r="A9270" s="8" t="str">
        <f t="shared" si="160"/>
        <v>250036</v>
      </c>
      <c r="B9270" s="8" t="str">
        <f>"2561409013017"</f>
        <v>2561409013017</v>
      </c>
      <c r="C9270" s="8" t="s">
        <v>15</v>
      </c>
      <c r="D9270" s="9">
        <v>0</v>
      </c>
      <c r="E9270" s="8">
        <v>383</v>
      </c>
    </row>
    <row r="9271" s="3" customFormat="1" ht="18.75" spans="1:5">
      <c r="A9271" s="8" t="str">
        <f t="shared" si="160"/>
        <v>250036</v>
      </c>
      <c r="B9271" s="8" t="str">
        <f>"2561409013024"</f>
        <v>2561409013024</v>
      </c>
      <c r="C9271" s="8" t="s">
        <v>15</v>
      </c>
      <c r="D9271" s="9">
        <v>0</v>
      </c>
      <c r="E9271" s="8">
        <v>383</v>
      </c>
    </row>
    <row r="9272" s="3" customFormat="1" ht="18.75" spans="1:5">
      <c r="A9272" s="8" t="str">
        <f t="shared" si="160"/>
        <v>250036</v>
      </c>
      <c r="B9272" s="8" t="str">
        <f>"2561409013026"</f>
        <v>2561409013026</v>
      </c>
      <c r="C9272" s="8" t="s">
        <v>15</v>
      </c>
      <c r="D9272" s="9">
        <v>0</v>
      </c>
      <c r="E9272" s="8">
        <v>383</v>
      </c>
    </row>
    <row r="9273" s="3" customFormat="1" ht="18.75" spans="1:5">
      <c r="A9273" s="8" t="str">
        <f t="shared" si="160"/>
        <v>250036</v>
      </c>
      <c r="B9273" s="8" t="str">
        <f>"2561409013101"</f>
        <v>2561409013101</v>
      </c>
      <c r="C9273" s="8" t="s">
        <v>15</v>
      </c>
      <c r="D9273" s="9">
        <v>0</v>
      </c>
      <c r="E9273" s="8">
        <v>383</v>
      </c>
    </row>
    <row r="9274" s="3" customFormat="1" ht="18.75" spans="1:5">
      <c r="A9274" s="8" t="str">
        <f t="shared" si="160"/>
        <v>250036</v>
      </c>
      <c r="B9274" s="8" t="str">
        <f>"2561409013103"</f>
        <v>2561409013103</v>
      </c>
      <c r="C9274" s="8" t="s">
        <v>15</v>
      </c>
      <c r="D9274" s="9">
        <v>0</v>
      </c>
      <c r="E9274" s="8">
        <v>383</v>
      </c>
    </row>
    <row r="9275" s="3" customFormat="1" ht="18.75" spans="1:5">
      <c r="A9275" s="8" t="str">
        <f t="shared" si="160"/>
        <v>250036</v>
      </c>
      <c r="B9275" s="8" t="str">
        <f>"2561409013109"</f>
        <v>2561409013109</v>
      </c>
      <c r="C9275" s="8" t="s">
        <v>15</v>
      </c>
      <c r="D9275" s="9">
        <v>0</v>
      </c>
      <c r="E9275" s="8">
        <v>383</v>
      </c>
    </row>
    <row r="9276" s="3" customFormat="1" ht="18.75" spans="1:5">
      <c r="A9276" s="8" t="str">
        <f t="shared" si="160"/>
        <v>250036</v>
      </c>
      <c r="B9276" s="8" t="str">
        <f>"2561409013110"</f>
        <v>2561409013110</v>
      </c>
      <c r="C9276" s="8" t="s">
        <v>15</v>
      </c>
      <c r="D9276" s="9">
        <v>0</v>
      </c>
      <c r="E9276" s="8">
        <v>383</v>
      </c>
    </row>
    <row r="9277" s="3" customFormat="1" ht="18.75" spans="1:5">
      <c r="A9277" s="8" t="str">
        <f t="shared" si="160"/>
        <v>250036</v>
      </c>
      <c r="B9277" s="8" t="str">
        <f>"2561409013111"</f>
        <v>2561409013111</v>
      </c>
      <c r="C9277" s="8" t="s">
        <v>15</v>
      </c>
      <c r="D9277" s="9">
        <v>0</v>
      </c>
      <c r="E9277" s="8">
        <v>383</v>
      </c>
    </row>
    <row r="9278" s="3" customFormat="1" ht="18.75" spans="1:5">
      <c r="A9278" s="8" t="str">
        <f t="shared" si="160"/>
        <v>250036</v>
      </c>
      <c r="B9278" s="8" t="str">
        <f>"2561409013117"</f>
        <v>2561409013117</v>
      </c>
      <c r="C9278" s="8" t="s">
        <v>15</v>
      </c>
      <c r="D9278" s="9">
        <v>0</v>
      </c>
      <c r="E9278" s="8">
        <v>383</v>
      </c>
    </row>
    <row r="9279" s="3" customFormat="1" ht="18.75" spans="1:5">
      <c r="A9279" s="8" t="str">
        <f t="shared" si="160"/>
        <v>250036</v>
      </c>
      <c r="B9279" s="8" t="str">
        <f>"2561409013119"</f>
        <v>2561409013119</v>
      </c>
      <c r="C9279" s="8" t="s">
        <v>15</v>
      </c>
      <c r="D9279" s="9">
        <v>0</v>
      </c>
      <c r="E9279" s="8">
        <v>383</v>
      </c>
    </row>
    <row r="9280" s="3" customFormat="1" ht="18.75" spans="1:5">
      <c r="A9280" s="8" t="str">
        <f t="shared" si="160"/>
        <v>250036</v>
      </c>
      <c r="B9280" s="8" t="str">
        <f>"2561409013120"</f>
        <v>2561409013120</v>
      </c>
      <c r="C9280" s="8" t="s">
        <v>15</v>
      </c>
      <c r="D9280" s="9">
        <v>0</v>
      </c>
      <c r="E9280" s="8">
        <v>383</v>
      </c>
    </row>
    <row r="9281" s="3" customFormat="1" ht="18.75" spans="1:5">
      <c r="A9281" s="8" t="str">
        <f t="shared" si="160"/>
        <v>250036</v>
      </c>
      <c r="B9281" s="8" t="str">
        <f>"2561409013125"</f>
        <v>2561409013125</v>
      </c>
      <c r="C9281" s="8" t="s">
        <v>15</v>
      </c>
      <c r="D9281" s="9">
        <v>0</v>
      </c>
      <c r="E9281" s="8">
        <v>383</v>
      </c>
    </row>
    <row r="9282" s="3" customFormat="1" ht="18.75" spans="1:5">
      <c r="A9282" s="8" t="str">
        <f t="shared" si="160"/>
        <v>250036</v>
      </c>
      <c r="B9282" s="8" t="str">
        <f>"2561409013126"</f>
        <v>2561409013126</v>
      </c>
      <c r="C9282" s="8" t="s">
        <v>15</v>
      </c>
      <c r="D9282" s="9">
        <v>0</v>
      </c>
      <c r="E9282" s="8">
        <v>383</v>
      </c>
    </row>
    <row r="9283" s="3" customFormat="1" ht="18.75" spans="1:5">
      <c r="A9283" s="8" t="str">
        <f t="shared" si="160"/>
        <v>250036</v>
      </c>
      <c r="B9283" s="8" t="str">
        <f>"2561409013128"</f>
        <v>2561409013128</v>
      </c>
      <c r="C9283" s="8" t="s">
        <v>15</v>
      </c>
      <c r="D9283" s="9">
        <v>0</v>
      </c>
      <c r="E9283" s="8">
        <v>383</v>
      </c>
    </row>
    <row r="9284" s="3" customFormat="1" ht="18.75" spans="1:5">
      <c r="A9284" s="8" t="str">
        <f t="shared" si="160"/>
        <v>250036</v>
      </c>
      <c r="B9284" s="8" t="str">
        <f>"2561409013130"</f>
        <v>2561409013130</v>
      </c>
      <c r="C9284" s="8" t="s">
        <v>15</v>
      </c>
      <c r="D9284" s="9">
        <v>0</v>
      </c>
      <c r="E9284" s="8">
        <v>383</v>
      </c>
    </row>
    <row r="9285" s="3" customFormat="1" ht="18.75" spans="1:5">
      <c r="A9285" s="8" t="str">
        <f t="shared" si="160"/>
        <v>250036</v>
      </c>
      <c r="B9285" s="8" t="str">
        <f>"2561409013202"</f>
        <v>2561409013202</v>
      </c>
      <c r="C9285" s="8" t="s">
        <v>15</v>
      </c>
      <c r="D9285" s="9">
        <v>0</v>
      </c>
      <c r="E9285" s="8">
        <v>383</v>
      </c>
    </row>
    <row r="9286" s="3" customFormat="1" ht="18.75" spans="1:5">
      <c r="A9286" s="8" t="str">
        <f t="shared" si="160"/>
        <v>250036</v>
      </c>
      <c r="B9286" s="8" t="str">
        <f>"2561409013206"</f>
        <v>2561409013206</v>
      </c>
      <c r="C9286" s="8" t="s">
        <v>15</v>
      </c>
      <c r="D9286" s="9">
        <v>0</v>
      </c>
      <c r="E9286" s="8">
        <v>383</v>
      </c>
    </row>
    <row r="9287" s="3" customFormat="1" ht="18.75" spans="1:5">
      <c r="A9287" s="8" t="str">
        <f t="shared" si="160"/>
        <v>250036</v>
      </c>
      <c r="B9287" s="8" t="str">
        <f>"2561409013208"</f>
        <v>2561409013208</v>
      </c>
      <c r="C9287" s="8" t="s">
        <v>15</v>
      </c>
      <c r="D9287" s="9">
        <v>0</v>
      </c>
      <c r="E9287" s="8">
        <v>383</v>
      </c>
    </row>
    <row r="9288" s="3" customFormat="1" ht="18.75" spans="1:5">
      <c r="A9288" s="8" t="str">
        <f t="shared" si="160"/>
        <v>250036</v>
      </c>
      <c r="B9288" s="8" t="str">
        <f>"2561409013209"</f>
        <v>2561409013209</v>
      </c>
      <c r="C9288" s="8" t="s">
        <v>15</v>
      </c>
      <c r="D9288" s="9">
        <v>0</v>
      </c>
      <c r="E9288" s="8">
        <v>383</v>
      </c>
    </row>
    <row r="9289" s="3" customFormat="1" ht="18.75" spans="1:5">
      <c r="A9289" s="8" t="str">
        <f t="shared" si="160"/>
        <v>250036</v>
      </c>
      <c r="B9289" s="8" t="str">
        <f>"2561409013210"</f>
        <v>2561409013210</v>
      </c>
      <c r="C9289" s="8" t="s">
        <v>15</v>
      </c>
      <c r="D9289" s="9">
        <v>0</v>
      </c>
      <c r="E9289" s="8">
        <v>383</v>
      </c>
    </row>
    <row r="9290" s="3" customFormat="1" ht="18.75" spans="1:5">
      <c r="A9290" s="8" t="str">
        <f t="shared" si="160"/>
        <v>250036</v>
      </c>
      <c r="B9290" s="8" t="str">
        <f>"2561409013211"</f>
        <v>2561409013211</v>
      </c>
      <c r="C9290" s="8" t="s">
        <v>15</v>
      </c>
      <c r="D9290" s="9">
        <v>0</v>
      </c>
      <c r="E9290" s="8">
        <v>383</v>
      </c>
    </row>
    <row r="9291" s="3" customFormat="1" ht="18.75" spans="1:5">
      <c r="A9291" s="8" t="str">
        <f t="shared" si="160"/>
        <v>250036</v>
      </c>
      <c r="B9291" s="8" t="str">
        <f>"2561409013215"</f>
        <v>2561409013215</v>
      </c>
      <c r="C9291" s="8" t="s">
        <v>15</v>
      </c>
      <c r="D9291" s="9">
        <v>0</v>
      </c>
      <c r="E9291" s="8">
        <v>383</v>
      </c>
    </row>
    <row r="9292" s="3" customFormat="1" ht="18.75" spans="1:5">
      <c r="A9292" s="8" t="str">
        <f t="shared" si="160"/>
        <v>250036</v>
      </c>
      <c r="B9292" s="8" t="str">
        <f>"2561409013216"</f>
        <v>2561409013216</v>
      </c>
      <c r="C9292" s="8" t="s">
        <v>15</v>
      </c>
      <c r="D9292" s="9">
        <v>0</v>
      </c>
      <c r="E9292" s="8">
        <v>383</v>
      </c>
    </row>
    <row r="9293" s="3" customFormat="1" ht="18.75" spans="1:5">
      <c r="A9293" s="8" t="str">
        <f t="shared" si="160"/>
        <v>250036</v>
      </c>
      <c r="B9293" s="8" t="str">
        <f>"2561409013219"</f>
        <v>2561409013219</v>
      </c>
      <c r="C9293" s="8" t="s">
        <v>15</v>
      </c>
      <c r="D9293" s="9">
        <v>0</v>
      </c>
      <c r="E9293" s="8">
        <v>383</v>
      </c>
    </row>
    <row r="9294" s="3" customFormat="1" ht="18.75" spans="1:5">
      <c r="A9294" s="8" t="str">
        <f t="shared" si="160"/>
        <v>250036</v>
      </c>
      <c r="B9294" s="8" t="str">
        <f>"2561409013220"</f>
        <v>2561409013220</v>
      </c>
      <c r="C9294" s="8" t="s">
        <v>15</v>
      </c>
      <c r="D9294" s="9">
        <v>0</v>
      </c>
      <c r="E9294" s="8">
        <v>383</v>
      </c>
    </row>
    <row r="9295" s="3" customFormat="1" ht="18.75" spans="1:5">
      <c r="A9295" s="8" t="str">
        <f t="shared" si="160"/>
        <v>250036</v>
      </c>
      <c r="B9295" s="8" t="str">
        <f>"2561409013221"</f>
        <v>2561409013221</v>
      </c>
      <c r="C9295" s="8" t="s">
        <v>15</v>
      </c>
      <c r="D9295" s="9">
        <v>0</v>
      </c>
      <c r="E9295" s="8">
        <v>383</v>
      </c>
    </row>
    <row r="9296" s="3" customFormat="1" ht="18.75" spans="1:5">
      <c r="A9296" s="8" t="str">
        <f t="shared" si="160"/>
        <v>250036</v>
      </c>
      <c r="B9296" s="8" t="str">
        <f>"2561409013223"</f>
        <v>2561409013223</v>
      </c>
      <c r="C9296" s="8" t="s">
        <v>15</v>
      </c>
      <c r="D9296" s="9">
        <v>0</v>
      </c>
      <c r="E9296" s="8">
        <v>383</v>
      </c>
    </row>
    <row r="9297" s="3" customFormat="1" ht="18.75" spans="1:5">
      <c r="A9297" s="8" t="str">
        <f t="shared" si="160"/>
        <v>250036</v>
      </c>
      <c r="B9297" s="8" t="str">
        <f>"2561409013229"</f>
        <v>2561409013229</v>
      </c>
      <c r="C9297" s="8" t="s">
        <v>15</v>
      </c>
      <c r="D9297" s="9">
        <v>0</v>
      </c>
      <c r="E9297" s="8">
        <v>383</v>
      </c>
    </row>
    <row r="9298" s="3" customFormat="1" ht="18.75" spans="1:5">
      <c r="A9298" s="8" t="str">
        <f t="shared" si="160"/>
        <v>250036</v>
      </c>
      <c r="B9298" s="8" t="str">
        <f>"2561409013301"</f>
        <v>2561409013301</v>
      </c>
      <c r="C9298" s="8" t="s">
        <v>15</v>
      </c>
      <c r="D9298" s="9">
        <v>0</v>
      </c>
      <c r="E9298" s="8">
        <v>383</v>
      </c>
    </row>
    <row r="9299" s="3" customFormat="1" ht="18.75" spans="1:5">
      <c r="A9299" s="8" t="str">
        <f t="shared" si="160"/>
        <v>250036</v>
      </c>
      <c r="B9299" s="8" t="str">
        <f>"2561409013302"</f>
        <v>2561409013302</v>
      </c>
      <c r="C9299" s="8" t="s">
        <v>15</v>
      </c>
      <c r="D9299" s="9">
        <v>0</v>
      </c>
      <c r="E9299" s="8">
        <v>383</v>
      </c>
    </row>
    <row r="9300" s="3" customFormat="1" ht="18.75" spans="1:5">
      <c r="A9300" s="8" t="str">
        <f t="shared" si="160"/>
        <v>250036</v>
      </c>
      <c r="B9300" s="8" t="str">
        <f>"2561409013303"</f>
        <v>2561409013303</v>
      </c>
      <c r="C9300" s="8" t="s">
        <v>15</v>
      </c>
      <c r="D9300" s="9">
        <v>0</v>
      </c>
      <c r="E9300" s="8">
        <v>383</v>
      </c>
    </row>
    <row r="9301" s="3" customFormat="1" ht="18.75" spans="1:5">
      <c r="A9301" s="8" t="str">
        <f t="shared" si="160"/>
        <v>250036</v>
      </c>
      <c r="B9301" s="8" t="str">
        <f>"2561409013304"</f>
        <v>2561409013304</v>
      </c>
      <c r="C9301" s="8" t="s">
        <v>15</v>
      </c>
      <c r="D9301" s="9">
        <v>0</v>
      </c>
      <c r="E9301" s="8">
        <v>383</v>
      </c>
    </row>
    <row r="9302" s="3" customFormat="1" ht="18.75" spans="1:5">
      <c r="A9302" s="8" t="str">
        <f t="shared" si="160"/>
        <v>250036</v>
      </c>
      <c r="B9302" s="8" t="str">
        <f>"2561409013306"</f>
        <v>2561409013306</v>
      </c>
      <c r="C9302" s="8" t="s">
        <v>15</v>
      </c>
      <c r="D9302" s="9">
        <v>0</v>
      </c>
      <c r="E9302" s="8">
        <v>383</v>
      </c>
    </row>
    <row r="9303" s="3" customFormat="1" ht="18.75" spans="1:5">
      <c r="A9303" s="8" t="str">
        <f t="shared" si="160"/>
        <v>250036</v>
      </c>
      <c r="B9303" s="8" t="str">
        <f>"2561409013309"</f>
        <v>2561409013309</v>
      </c>
      <c r="C9303" s="8" t="s">
        <v>15</v>
      </c>
      <c r="D9303" s="9">
        <v>0</v>
      </c>
      <c r="E9303" s="8">
        <v>383</v>
      </c>
    </row>
    <row r="9304" s="3" customFormat="1" ht="18.75" spans="1:5">
      <c r="A9304" s="8" t="str">
        <f t="shared" si="160"/>
        <v>250036</v>
      </c>
      <c r="B9304" s="8" t="str">
        <f>"2561409013310"</f>
        <v>2561409013310</v>
      </c>
      <c r="C9304" s="8" t="s">
        <v>15</v>
      </c>
      <c r="D9304" s="9">
        <v>0</v>
      </c>
      <c r="E9304" s="8">
        <v>383</v>
      </c>
    </row>
    <row r="9305" s="3" customFormat="1" ht="18.75" spans="1:5">
      <c r="A9305" s="8" t="str">
        <f t="shared" si="160"/>
        <v>250036</v>
      </c>
      <c r="B9305" s="8" t="str">
        <f>"2561409013312"</f>
        <v>2561409013312</v>
      </c>
      <c r="C9305" s="8" t="s">
        <v>15</v>
      </c>
      <c r="D9305" s="9">
        <v>0</v>
      </c>
      <c r="E9305" s="8">
        <v>383</v>
      </c>
    </row>
    <row r="9306" s="3" customFormat="1" ht="18.75" spans="1:5">
      <c r="A9306" s="8" t="str">
        <f t="shared" si="160"/>
        <v>250036</v>
      </c>
      <c r="B9306" s="8" t="str">
        <f>"2561409013314"</f>
        <v>2561409013314</v>
      </c>
      <c r="C9306" s="8" t="s">
        <v>15</v>
      </c>
      <c r="D9306" s="9">
        <v>0</v>
      </c>
      <c r="E9306" s="8">
        <v>383</v>
      </c>
    </row>
    <row r="9307" s="3" customFormat="1" ht="18.75" spans="1:5">
      <c r="A9307" s="8" t="str">
        <f t="shared" ref="A9307:A9370" si="161">"250036"</f>
        <v>250036</v>
      </c>
      <c r="B9307" s="8" t="str">
        <f>"2561409013315"</f>
        <v>2561409013315</v>
      </c>
      <c r="C9307" s="8" t="s">
        <v>15</v>
      </c>
      <c r="D9307" s="9">
        <v>0</v>
      </c>
      <c r="E9307" s="8">
        <v>383</v>
      </c>
    </row>
    <row r="9308" s="3" customFormat="1" ht="18.75" spans="1:5">
      <c r="A9308" s="8" t="str">
        <f t="shared" si="161"/>
        <v>250036</v>
      </c>
      <c r="B9308" s="8" t="str">
        <f>"2561409013316"</f>
        <v>2561409013316</v>
      </c>
      <c r="C9308" s="8" t="s">
        <v>15</v>
      </c>
      <c r="D9308" s="9">
        <v>0</v>
      </c>
      <c r="E9308" s="8">
        <v>383</v>
      </c>
    </row>
    <row r="9309" s="3" customFormat="1" ht="18.75" spans="1:5">
      <c r="A9309" s="8" t="str">
        <f t="shared" si="161"/>
        <v>250036</v>
      </c>
      <c r="B9309" s="8" t="str">
        <f>"2561409013317"</f>
        <v>2561409013317</v>
      </c>
      <c r="C9309" s="8" t="s">
        <v>15</v>
      </c>
      <c r="D9309" s="9">
        <v>0</v>
      </c>
      <c r="E9309" s="8">
        <v>383</v>
      </c>
    </row>
    <row r="9310" s="3" customFormat="1" ht="18.75" spans="1:5">
      <c r="A9310" s="8" t="str">
        <f t="shared" si="161"/>
        <v>250036</v>
      </c>
      <c r="B9310" s="8" t="str">
        <f>"2561409013319"</f>
        <v>2561409013319</v>
      </c>
      <c r="C9310" s="8" t="s">
        <v>15</v>
      </c>
      <c r="D9310" s="9">
        <v>0</v>
      </c>
      <c r="E9310" s="8">
        <v>383</v>
      </c>
    </row>
    <row r="9311" s="3" customFormat="1" ht="18.75" spans="1:5">
      <c r="A9311" s="8" t="str">
        <f t="shared" si="161"/>
        <v>250036</v>
      </c>
      <c r="B9311" s="8" t="str">
        <f>"2561409013320"</f>
        <v>2561409013320</v>
      </c>
      <c r="C9311" s="8" t="s">
        <v>15</v>
      </c>
      <c r="D9311" s="9">
        <v>0</v>
      </c>
      <c r="E9311" s="8">
        <v>383</v>
      </c>
    </row>
    <row r="9312" s="3" customFormat="1" ht="18.75" spans="1:5">
      <c r="A9312" s="8" t="str">
        <f t="shared" si="161"/>
        <v>250036</v>
      </c>
      <c r="B9312" s="8" t="str">
        <f>"2561409013321"</f>
        <v>2561409013321</v>
      </c>
      <c r="C9312" s="8" t="s">
        <v>15</v>
      </c>
      <c r="D9312" s="9">
        <v>0</v>
      </c>
      <c r="E9312" s="8">
        <v>383</v>
      </c>
    </row>
    <row r="9313" s="3" customFormat="1" ht="18.75" spans="1:5">
      <c r="A9313" s="8" t="str">
        <f t="shared" si="161"/>
        <v>250036</v>
      </c>
      <c r="B9313" s="8" t="str">
        <f>"2561409013322"</f>
        <v>2561409013322</v>
      </c>
      <c r="C9313" s="8" t="s">
        <v>15</v>
      </c>
      <c r="D9313" s="9">
        <v>0</v>
      </c>
      <c r="E9313" s="8">
        <v>383</v>
      </c>
    </row>
    <row r="9314" s="3" customFormat="1" ht="18.75" spans="1:5">
      <c r="A9314" s="8" t="str">
        <f t="shared" si="161"/>
        <v>250036</v>
      </c>
      <c r="B9314" s="8" t="str">
        <f>"2561409013326"</f>
        <v>2561409013326</v>
      </c>
      <c r="C9314" s="8" t="s">
        <v>15</v>
      </c>
      <c r="D9314" s="9">
        <v>0</v>
      </c>
      <c r="E9314" s="8">
        <v>383</v>
      </c>
    </row>
    <row r="9315" s="3" customFormat="1" ht="18.75" spans="1:5">
      <c r="A9315" s="8" t="str">
        <f t="shared" si="161"/>
        <v>250036</v>
      </c>
      <c r="B9315" s="8" t="str">
        <f>"2561409013328"</f>
        <v>2561409013328</v>
      </c>
      <c r="C9315" s="8" t="s">
        <v>15</v>
      </c>
      <c r="D9315" s="9">
        <v>0</v>
      </c>
      <c r="E9315" s="8">
        <v>383</v>
      </c>
    </row>
    <row r="9316" s="3" customFormat="1" ht="18.75" spans="1:5">
      <c r="A9316" s="8" t="str">
        <f t="shared" si="161"/>
        <v>250036</v>
      </c>
      <c r="B9316" s="8" t="str">
        <f>"2561409013403"</f>
        <v>2561409013403</v>
      </c>
      <c r="C9316" s="8" t="s">
        <v>15</v>
      </c>
      <c r="D9316" s="9">
        <v>0</v>
      </c>
      <c r="E9316" s="8">
        <v>383</v>
      </c>
    </row>
    <row r="9317" s="3" customFormat="1" ht="18.75" spans="1:5">
      <c r="A9317" s="8" t="str">
        <f t="shared" si="161"/>
        <v>250036</v>
      </c>
      <c r="B9317" s="8" t="str">
        <f>"2561409013407"</f>
        <v>2561409013407</v>
      </c>
      <c r="C9317" s="8" t="s">
        <v>15</v>
      </c>
      <c r="D9317" s="9">
        <v>0</v>
      </c>
      <c r="E9317" s="8">
        <v>383</v>
      </c>
    </row>
    <row r="9318" s="3" customFormat="1" ht="18.75" spans="1:5">
      <c r="A9318" s="8" t="str">
        <f t="shared" si="161"/>
        <v>250036</v>
      </c>
      <c r="B9318" s="8" t="str">
        <f>"2561409013409"</f>
        <v>2561409013409</v>
      </c>
      <c r="C9318" s="8" t="s">
        <v>15</v>
      </c>
      <c r="D9318" s="9">
        <v>0</v>
      </c>
      <c r="E9318" s="8">
        <v>383</v>
      </c>
    </row>
    <row r="9319" s="3" customFormat="1" ht="18.75" spans="1:5">
      <c r="A9319" s="8" t="str">
        <f t="shared" si="161"/>
        <v>250036</v>
      </c>
      <c r="B9319" s="8" t="str">
        <f>"2561409013410"</f>
        <v>2561409013410</v>
      </c>
      <c r="C9319" s="8" t="s">
        <v>15</v>
      </c>
      <c r="D9319" s="9">
        <v>0</v>
      </c>
      <c r="E9319" s="8">
        <v>383</v>
      </c>
    </row>
    <row r="9320" s="3" customFormat="1" ht="18.75" spans="1:5">
      <c r="A9320" s="8" t="str">
        <f t="shared" si="161"/>
        <v>250036</v>
      </c>
      <c r="B9320" s="8" t="str">
        <f>"2561409013411"</f>
        <v>2561409013411</v>
      </c>
      <c r="C9320" s="8" t="s">
        <v>15</v>
      </c>
      <c r="D9320" s="9">
        <v>0</v>
      </c>
      <c r="E9320" s="8">
        <v>383</v>
      </c>
    </row>
    <row r="9321" s="3" customFormat="1" ht="18.75" spans="1:5">
      <c r="A9321" s="8" t="str">
        <f t="shared" si="161"/>
        <v>250036</v>
      </c>
      <c r="B9321" s="8" t="str">
        <f>"2561409013412"</f>
        <v>2561409013412</v>
      </c>
      <c r="C9321" s="8" t="s">
        <v>15</v>
      </c>
      <c r="D9321" s="9">
        <v>0</v>
      </c>
      <c r="E9321" s="8">
        <v>383</v>
      </c>
    </row>
    <row r="9322" s="3" customFormat="1" ht="18.75" spans="1:5">
      <c r="A9322" s="8" t="str">
        <f t="shared" si="161"/>
        <v>250036</v>
      </c>
      <c r="B9322" s="8" t="str">
        <f>"2561409013414"</f>
        <v>2561409013414</v>
      </c>
      <c r="C9322" s="8" t="s">
        <v>15</v>
      </c>
      <c r="D9322" s="9">
        <v>0</v>
      </c>
      <c r="E9322" s="8">
        <v>383</v>
      </c>
    </row>
    <row r="9323" s="3" customFormat="1" ht="18.75" spans="1:5">
      <c r="A9323" s="8" t="str">
        <f t="shared" si="161"/>
        <v>250036</v>
      </c>
      <c r="B9323" s="8" t="str">
        <f>"2561409013415"</f>
        <v>2561409013415</v>
      </c>
      <c r="C9323" s="8" t="s">
        <v>15</v>
      </c>
      <c r="D9323" s="9">
        <v>0</v>
      </c>
      <c r="E9323" s="8">
        <v>383</v>
      </c>
    </row>
    <row r="9324" s="3" customFormat="1" ht="18.75" spans="1:5">
      <c r="A9324" s="8" t="str">
        <f t="shared" si="161"/>
        <v>250036</v>
      </c>
      <c r="B9324" s="8" t="str">
        <f>"2561409013416"</f>
        <v>2561409013416</v>
      </c>
      <c r="C9324" s="8" t="s">
        <v>15</v>
      </c>
      <c r="D9324" s="9">
        <v>0</v>
      </c>
      <c r="E9324" s="8">
        <v>383</v>
      </c>
    </row>
    <row r="9325" s="3" customFormat="1" ht="18.75" spans="1:5">
      <c r="A9325" s="8" t="str">
        <f t="shared" si="161"/>
        <v>250036</v>
      </c>
      <c r="B9325" s="8" t="str">
        <f>"2561409013420"</f>
        <v>2561409013420</v>
      </c>
      <c r="C9325" s="8" t="s">
        <v>15</v>
      </c>
      <c r="D9325" s="9">
        <v>0</v>
      </c>
      <c r="E9325" s="8">
        <v>383</v>
      </c>
    </row>
    <row r="9326" s="3" customFormat="1" ht="18.75" spans="1:5">
      <c r="A9326" s="8" t="str">
        <f t="shared" si="161"/>
        <v>250036</v>
      </c>
      <c r="B9326" s="8" t="str">
        <f>"2561409013421"</f>
        <v>2561409013421</v>
      </c>
      <c r="C9326" s="8" t="s">
        <v>15</v>
      </c>
      <c r="D9326" s="9">
        <v>0</v>
      </c>
      <c r="E9326" s="8">
        <v>383</v>
      </c>
    </row>
    <row r="9327" s="3" customFormat="1" ht="18.75" spans="1:5">
      <c r="A9327" s="8" t="str">
        <f t="shared" si="161"/>
        <v>250036</v>
      </c>
      <c r="B9327" s="8" t="str">
        <f>"2561409013426"</f>
        <v>2561409013426</v>
      </c>
      <c r="C9327" s="8" t="s">
        <v>15</v>
      </c>
      <c r="D9327" s="9">
        <v>0</v>
      </c>
      <c r="E9327" s="8">
        <v>383</v>
      </c>
    </row>
    <row r="9328" s="3" customFormat="1" ht="18.75" spans="1:5">
      <c r="A9328" s="8" t="str">
        <f t="shared" si="161"/>
        <v>250036</v>
      </c>
      <c r="B9328" s="8" t="str">
        <f>"2561409013427"</f>
        <v>2561409013427</v>
      </c>
      <c r="C9328" s="8" t="s">
        <v>15</v>
      </c>
      <c r="D9328" s="9">
        <v>0</v>
      </c>
      <c r="E9328" s="8">
        <v>383</v>
      </c>
    </row>
    <row r="9329" s="3" customFormat="1" ht="18.75" spans="1:5">
      <c r="A9329" s="8" t="str">
        <f t="shared" si="161"/>
        <v>250036</v>
      </c>
      <c r="B9329" s="8" t="str">
        <f>"2561409013501"</f>
        <v>2561409013501</v>
      </c>
      <c r="C9329" s="8" t="s">
        <v>15</v>
      </c>
      <c r="D9329" s="9">
        <v>0</v>
      </c>
      <c r="E9329" s="8">
        <v>383</v>
      </c>
    </row>
    <row r="9330" s="3" customFormat="1" ht="18.75" spans="1:5">
      <c r="A9330" s="8" t="str">
        <f t="shared" si="161"/>
        <v>250036</v>
      </c>
      <c r="B9330" s="8" t="str">
        <f>"2561409013502"</f>
        <v>2561409013502</v>
      </c>
      <c r="C9330" s="8" t="s">
        <v>15</v>
      </c>
      <c r="D9330" s="9">
        <v>0</v>
      </c>
      <c r="E9330" s="8">
        <v>383</v>
      </c>
    </row>
    <row r="9331" s="3" customFormat="1" ht="18.75" spans="1:5">
      <c r="A9331" s="8" t="str">
        <f t="shared" si="161"/>
        <v>250036</v>
      </c>
      <c r="B9331" s="8" t="str">
        <f>"2561409013504"</f>
        <v>2561409013504</v>
      </c>
      <c r="C9331" s="8" t="s">
        <v>15</v>
      </c>
      <c r="D9331" s="9">
        <v>0</v>
      </c>
      <c r="E9331" s="8">
        <v>383</v>
      </c>
    </row>
    <row r="9332" s="3" customFormat="1" ht="18.75" spans="1:5">
      <c r="A9332" s="8" t="str">
        <f t="shared" si="161"/>
        <v>250036</v>
      </c>
      <c r="B9332" s="8" t="str">
        <f>"2561409013509"</f>
        <v>2561409013509</v>
      </c>
      <c r="C9332" s="8" t="s">
        <v>15</v>
      </c>
      <c r="D9332" s="9">
        <v>0</v>
      </c>
      <c r="E9332" s="8">
        <v>383</v>
      </c>
    </row>
    <row r="9333" s="3" customFormat="1" ht="18.75" spans="1:5">
      <c r="A9333" s="8" t="str">
        <f t="shared" si="161"/>
        <v>250036</v>
      </c>
      <c r="B9333" s="8" t="str">
        <f>"2561409013513"</f>
        <v>2561409013513</v>
      </c>
      <c r="C9333" s="8" t="s">
        <v>15</v>
      </c>
      <c r="D9333" s="9">
        <v>0</v>
      </c>
      <c r="E9333" s="8">
        <v>383</v>
      </c>
    </row>
    <row r="9334" s="3" customFormat="1" ht="18.75" spans="1:5">
      <c r="A9334" s="8" t="str">
        <f t="shared" si="161"/>
        <v>250036</v>
      </c>
      <c r="B9334" s="8" t="str">
        <f>"2561409013515"</f>
        <v>2561409013515</v>
      </c>
      <c r="C9334" s="8" t="s">
        <v>15</v>
      </c>
      <c r="D9334" s="9">
        <v>0</v>
      </c>
      <c r="E9334" s="8">
        <v>383</v>
      </c>
    </row>
    <row r="9335" s="3" customFormat="1" ht="18.75" spans="1:5">
      <c r="A9335" s="8" t="str">
        <f t="shared" si="161"/>
        <v>250036</v>
      </c>
      <c r="B9335" s="8" t="str">
        <f>"2561409013517"</f>
        <v>2561409013517</v>
      </c>
      <c r="C9335" s="8" t="s">
        <v>15</v>
      </c>
      <c r="D9335" s="9">
        <v>0</v>
      </c>
      <c r="E9335" s="8">
        <v>383</v>
      </c>
    </row>
    <row r="9336" s="3" customFormat="1" ht="18.75" spans="1:5">
      <c r="A9336" s="8" t="str">
        <f t="shared" si="161"/>
        <v>250036</v>
      </c>
      <c r="B9336" s="8" t="str">
        <f>"2561409013519"</f>
        <v>2561409013519</v>
      </c>
      <c r="C9336" s="8" t="s">
        <v>15</v>
      </c>
      <c r="D9336" s="9">
        <v>0</v>
      </c>
      <c r="E9336" s="8">
        <v>383</v>
      </c>
    </row>
    <row r="9337" s="3" customFormat="1" ht="18.75" spans="1:5">
      <c r="A9337" s="8" t="str">
        <f t="shared" si="161"/>
        <v>250036</v>
      </c>
      <c r="B9337" s="8" t="str">
        <f>"2561409013523"</f>
        <v>2561409013523</v>
      </c>
      <c r="C9337" s="8" t="s">
        <v>15</v>
      </c>
      <c r="D9337" s="9">
        <v>0</v>
      </c>
      <c r="E9337" s="8">
        <v>383</v>
      </c>
    </row>
    <row r="9338" s="3" customFormat="1" ht="18.75" spans="1:5">
      <c r="A9338" s="8" t="str">
        <f t="shared" si="161"/>
        <v>250036</v>
      </c>
      <c r="B9338" s="8" t="str">
        <f>"2561409013524"</f>
        <v>2561409013524</v>
      </c>
      <c r="C9338" s="8" t="s">
        <v>15</v>
      </c>
      <c r="D9338" s="9">
        <v>0</v>
      </c>
      <c r="E9338" s="8">
        <v>383</v>
      </c>
    </row>
    <row r="9339" s="3" customFormat="1" ht="18.75" spans="1:5">
      <c r="A9339" s="8" t="str">
        <f t="shared" si="161"/>
        <v>250036</v>
      </c>
      <c r="B9339" s="8" t="str">
        <f>"2561409013525"</f>
        <v>2561409013525</v>
      </c>
      <c r="C9339" s="8" t="s">
        <v>15</v>
      </c>
      <c r="D9339" s="9">
        <v>0</v>
      </c>
      <c r="E9339" s="8">
        <v>383</v>
      </c>
    </row>
    <row r="9340" s="3" customFormat="1" ht="18.75" spans="1:5">
      <c r="A9340" s="8" t="str">
        <f t="shared" si="161"/>
        <v>250036</v>
      </c>
      <c r="B9340" s="8" t="str">
        <f>"2561409013526"</f>
        <v>2561409013526</v>
      </c>
      <c r="C9340" s="8" t="s">
        <v>15</v>
      </c>
      <c r="D9340" s="9">
        <v>0</v>
      </c>
      <c r="E9340" s="8">
        <v>383</v>
      </c>
    </row>
    <row r="9341" s="3" customFormat="1" ht="18.75" spans="1:5">
      <c r="A9341" s="8" t="str">
        <f t="shared" si="161"/>
        <v>250036</v>
      </c>
      <c r="B9341" s="8" t="str">
        <f>"2561409013528"</f>
        <v>2561409013528</v>
      </c>
      <c r="C9341" s="8" t="s">
        <v>15</v>
      </c>
      <c r="D9341" s="9">
        <v>0</v>
      </c>
      <c r="E9341" s="8">
        <v>383</v>
      </c>
    </row>
    <row r="9342" s="3" customFormat="1" ht="18.75" spans="1:5">
      <c r="A9342" s="8" t="str">
        <f t="shared" si="161"/>
        <v>250036</v>
      </c>
      <c r="B9342" s="8" t="str">
        <f>"2561409013602"</f>
        <v>2561409013602</v>
      </c>
      <c r="C9342" s="8" t="s">
        <v>15</v>
      </c>
      <c r="D9342" s="9">
        <v>0</v>
      </c>
      <c r="E9342" s="8">
        <v>383</v>
      </c>
    </row>
    <row r="9343" s="3" customFormat="1" ht="18.75" spans="1:5">
      <c r="A9343" s="8" t="str">
        <f t="shared" si="161"/>
        <v>250036</v>
      </c>
      <c r="B9343" s="8" t="str">
        <f>"2561409013605"</f>
        <v>2561409013605</v>
      </c>
      <c r="C9343" s="8" t="s">
        <v>15</v>
      </c>
      <c r="D9343" s="9">
        <v>0</v>
      </c>
      <c r="E9343" s="8">
        <v>383</v>
      </c>
    </row>
    <row r="9344" s="3" customFormat="1" ht="18.75" spans="1:5">
      <c r="A9344" s="8" t="str">
        <f t="shared" si="161"/>
        <v>250036</v>
      </c>
      <c r="B9344" s="8" t="str">
        <f>"2561409013608"</f>
        <v>2561409013608</v>
      </c>
      <c r="C9344" s="8" t="s">
        <v>15</v>
      </c>
      <c r="D9344" s="9">
        <v>0</v>
      </c>
      <c r="E9344" s="8">
        <v>383</v>
      </c>
    </row>
    <row r="9345" s="3" customFormat="1" ht="18.75" spans="1:5">
      <c r="A9345" s="8" t="str">
        <f t="shared" si="161"/>
        <v>250036</v>
      </c>
      <c r="B9345" s="8" t="str">
        <f>"2561409013610"</f>
        <v>2561409013610</v>
      </c>
      <c r="C9345" s="8" t="s">
        <v>15</v>
      </c>
      <c r="D9345" s="9">
        <v>0</v>
      </c>
      <c r="E9345" s="8">
        <v>383</v>
      </c>
    </row>
    <row r="9346" s="3" customFormat="1" ht="18.75" spans="1:5">
      <c r="A9346" s="8" t="str">
        <f t="shared" si="161"/>
        <v>250036</v>
      </c>
      <c r="B9346" s="8" t="str">
        <f>"2561409013611"</f>
        <v>2561409013611</v>
      </c>
      <c r="C9346" s="8" t="s">
        <v>15</v>
      </c>
      <c r="D9346" s="9">
        <v>0</v>
      </c>
      <c r="E9346" s="8">
        <v>383</v>
      </c>
    </row>
    <row r="9347" s="3" customFormat="1" ht="18.75" spans="1:5">
      <c r="A9347" s="8" t="str">
        <f t="shared" si="161"/>
        <v>250036</v>
      </c>
      <c r="B9347" s="8" t="str">
        <f>"2561409013616"</f>
        <v>2561409013616</v>
      </c>
      <c r="C9347" s="8" t="s">
        <v>15</v>
      </c>
      <c r="D9347" s="9">
        <v>0</v>
      </c>
      <c r="E9347" s="8">
        <v>383</v>
      </c>
    </row>
    <row r="9348" s="3" customFormat="1" ht="18.75" spans="1:5">
      <c r="A9348" s="8" t="str">
        <f t="shared" si="161"/>
        <v>250036</v>
      </c>
      <c r="B9348" s="8" t="str">
        <f>"2561409013618"</f>
        <v>2561409013618</v>
      </c>
      <c r="C9348" s="8" t="s">
        <v>15</v>
      </c>
      <c r="D9348" s="9">
        <v>0</v>
      </c>
      <c r="E9348" s="8">
        <v>383</v>
      </c>
    </row>
    <row r="9349" s="3" customFormat="1" ht="18.75" spans="1:5">
      <c r="A9349" s="8" t="str">
        <f t="shared" si="161"/>
        <v>250036</v>
      </c>
      <c r="B9349" s="8" t="str">
        <f>"2561409013620"</f>
        <v>2561409013620</v>
      </c>
      <c r="C9349" s="8" t="s">
        <v>15</v>
      </c>
      <c r="D9349" s="9">
        <v>0</v>
      </c>
      <c r="E9349" s="8">
        <v>383</v>
      </c>
    </row>
    <row r="9350" s="3" customFormat="1" ht="18.75" spans="1:5">
      <c r="A9350" s="8" t="str">
        <f t="shared" si="161"/>
        <v>250036</v>
      </c>
      <c r="B9350" s="8" t="str">
        <f>"2561409013622"</f>
        <v>2561409013622</v>
      </c>
      <c r="C9350" s="8" t="s">
        <v>15</v>
      </c>
      <c r="D9350" s="9">
        <v>0</v>
      </c>
      <c r="E9350" s="8">
        <v>383</v>
      </c>
    </row>
    <row r="9351" s="3" customFormat="1" ht="18.75" spans="1:5">
      <c r="A9351" s="8" t="str">
        <f t="shared" si="161"/>
        <v>250036</v>
      </c>
      <c r="B9351" s="8" t="str">
        <f>"2561409013624"</f>
        <v>2561409013624</v>
      </c>
      <c r="C9351" s="8" t="s">
        <v>15</v>
      </c>
      <c r="D9351" s="9">
        <v>0</v>
      </c>
      <c r="E9351" s="8">
        <v>383</v>
      </c>
    </row>
    <row r="9352" s="3" customFormat="1" ht="18.75" spans="1:5">
      <c r="A9352" s="8" t="str">
        <f t="shared" si="161"/>
        <v>250036</v>
      </c>
      <c r="B9352" s="8" t="str">
        <f>"2561409013625"</f>
        <v>2561409013625</v>
      </c>
      <c r="C9352" s="8" t="s">
        <v>15</v>
      </c>
      <c r="D9352" s="9">
        <v>0</v>
      </c>
      <c r="E9352" s="8">
        <v>383</v>
      </c>
    </row>
    <row r="9353" s="3" customFormat="1" ht="18.75" spans="1:5">
      <c r="A9353" s="8" t="str">
        <f t="shared" si="161"/>
        <v>250036</v>
      </c>
      <c r="B9353" s="8" t="str">
        <f>"2561409013626"</f>
        <v>2561409013626</v>
      </c>
      <c r="C9353" s="8" t="s">
        <v>15</v>
      </c>
      <c r="D9353" s="9">
        <v>0</v>
      </c>
      <c r="E9353" s="8">
        <v>383</v>
      </c>
    </row>
    <row r="9354" s="3" customFormat="1" ht="18.75" spans="1:5">
      <c r="A9354" s="8" t="str">
        <f t="shared" si="161"/>
        <v>250036</v>
      </c>
      <c r="B9354" s="8" t="str">
        <f>"2561409013627"</f>
        <v>2561409013627</v>
      </c>
      <c r="C9354" s="8" t="s">
        <v>15</v>
      </c>
      <c r="D9354" s="9">
        <v>0</v>
      </c>
      <c r="E9354" s="8">
        <v>383</v>
      </c>
    </row>
    <row r="9355" s="3" customFormat="1" ht="18.75" spans="1:5">
      <c r="A9355" s="8" t="str">
        <f t="shared" si="161"/>
        <v>250036</v>
      </c>
      <c r="B9355" s="8" t="str">
        <f>"2561409013705"</f>
        <v>2561409013705</v>
      </c>
      <c r="C9355" s="8" t="s">
        <v>15</v>
      </c>
      <c r="D9355" s="9">
        <v>0</v>
      </c>
      <c r="E9355" s="8">
        <v>383</v>
      </c>
    </row>
    <row r="9356" s="3" customFormat="1" ht="18.75" spans="1:5">
      <c r="A9356" s="8" t="str">
        <f t="shared" si="161"/>
        <v>250036</v>
      </c>
      <c r="B9356" s="8" t="str">
        <f>"2561409013710"</f>
        <v>2561409013710</v>
      </c>
      <c r="C9356" s="8" t="s">
        <v>15</v>
      </c>
      <c r="D9356" s="9">
        <v>0</v>
      </c>
      <c r="E9356" s="8">
        <v>383</v>
      </c>
    </row>
    <row r="9357" s="3" customFormat="1" ht="18.75" spans="1:5">
      <c r="A9357" s="8" t="str">
        <f t="shared" si="161"/>
        <v>250036</v>
      </c>
      <c r="B9357" s="8" t="str">
        <f>"2561409013711"</f>
        <v>2561409013711</v>
      </c>
      <c r="C9357" s="8" t="s">
        <v>15</v>
      </c>
      <c r="D9357" s="9">
        <v>0</v>
      </c>
      <c r="E9357" s="8">
        <v>383</v>
      </c>
    </row>
    <row r="9358" s="3" customFormat="1" ht="18.75" spans="1:5">
      <c r="A9358" s="8" t="str">
        <f t="shared" si="161"/>
        <v>250036</v>
      </c>
      <c r="B9358" s="8" t="str">
        <f>"2561409013715"</f>
        <v>2561409013715</v>
      </c>
      <c r="C9358" s="8" t="s">
        <v>15</v>
      </c>
      <c r="D9358" s="9">
        <v>0</v>
      </c>
      <c r="E9358" s="8">
        <v>383</v>
      </c>
    </row>
    <row r="9359" s="3" customFormat="1" ht="18.75" spans="1:5">
      <c r="A9359" s="8" t="str">
        <f t="shared" si="161"/>
        <v>250036</v>
      </c>
      <c r="B9359" s="8" t="str">
        <f>"2561409013716"</f>
        <v>2561409013716</v>
      </c>
      <c r="C9359" s="8" t="s">
        <v>15</v>
      </c>
      <c r="D9359" s="9">
        <v>0</v>
      </c>
      <c r="E9359" s="8">
        <v>383</v>
      </c>
    </row>
    <row r="9360" s="3" customFormat="1" ht="18.75" spans="1:5">
      <c r="A9360" s="8" t="str">
        <f t="shared" si="161"/>
        <v>250036</v>
      </c>
      <c r="B9360" s="8" t="str">
        <f>"2561409013720"</f>
        <v>2561409013720</v>
      </c>
      <c r="C9360" s="8" t="s">
        <v>15</v>
      </c>
      <c r="D9360" s="9">
        <v>0</v>
      </c>
      <c r="E9360" s="8">
        <v>383</v>
      </c>
    </row>
    <row r="9361" s="3" customFormat="1" ht="18.75" spans="1:5">
      <c r="A9361" s="8" t="str">
        <f t="shared" si="161"/>
        <v>250036</v>
      </c>
      <c r="B9361" s="8" t="str">
        <f>"2561409013721"</f>
        <v>2561409013721</v>
      </c>
      <c r="C9361" s="8" t="s">
        <v>15</v>
      </c>
      <c r="D9361" s="9">
        <v>0</v>
      </c>
      <c r="E9361" s="8">
        <v>383</v>
      </c>
    </row>
    <row r="9362" s="3" customFormat="1" ht="18.75" spans="1:5">
      <c r="A9362" s="8" t="str">
        <f t="shared" si="161"/>
        <v>250036</v>
      </c>
      <c r="B9362" s="8" t="str">
        <f>"2561409013727"</f>
        <v>2561409013727</v>
      </c>
      <c r="C9362" s="8" t="s">
        <v>15</v>
      </c>
      <c r="D9362" s="9">
        <v>0</v>
      </c>
      <c r="E9362" s="8">
        <v>383</v>
      </c>
    </row>
    <row r="9363" s="3" customFormat="1" ht="18.75" spans="1:5">
      <c r="A9363" s="8" t="str">
        <f t="shared" si="161"/>
        <v>250036</v>
      </c>
      <c r="B9363" s="8" t="str">
        <f>"2561409013802"</f>
        <v>2561409013802</v>
      </c>
      <c r="C9363" s="8" t="s">
        <v>15</v>
      </c>
      <c r="D9363" s="9">
        <v>0</v>
      </c>
      <c r="E9363" s="8">
        <v>383</v>
      </c>
    </row>
    <row r="9364" s="3" customFormat="1" ht="18.75" spans="1:5">
      <c r="A9364" s="8" t="str">
        <f t="shared" si="161"/>
        <v>250036</v>
      </c>
      <c r="B9364" s="8" t="str">
        <f>"2561409013804"</f>
        <v>2561409013804</v>
      </c>
      <c r="C9364" s="8" t="s">
        <v>15</v>
      </c>
      <c r="D9364" s="9">
        <v>0</v>
      </c>
      <c r="E9364" s="8">
        <v>383</v>
      </c>
    </row>
    <row r="9365" s="3" customFormat="1" ht="18.75" spans="1:5">
      <c r="A9365" s="8" t="str">
        <f t="shared" si="161"/>
        <v>250036</v>
      </c>
      <c r="B9365" s="8" t="str">
        <f>"2561409013806"</f>
        <v>2561409013806</v>
      </c>
      <c r="C9365" s="8" t="s">
        <v>15</v>
      </c>
      <c r="D9365" s="9">
        <v>0</v>
      </c>
      <c r="E9365" s="8">
        <v>383</v>
      </c>
    </row>
    <row r="9366" s="3" customFormat="1" ht="18.75" spans="1:5">
      <c r="A9366" s="8" t="str">
        <f t="shared" si="161"/>
        <v>250036</v>
      </c>
      <c r="B9366" s="8" t="str">
        <f>"2561409013807"</f>
        <v>2561409013807</v>
      </c>
      <c r="C9366" s="8" t="s">
        <v>15</v>
      </c>
      <c r="D9366" s="9">
        <v>0</v>
      </c>
      <c r="E9366" s="8">
        <v>383</v>
      </c>
    </row>
    <row r="9367" s="3" customFormat="1" ht="18.75" spans="1:5">
      <c r="A9367" s="8" t="str">
        <f t="shared" si="161"/>
        <v>250036</v>
      </c>
      <c r="B9367" s="8" t="str">
        <f>"2561409013809"</f>
        <v>2561409013809</v>
      </c>
      <c r="C9367" s="8" t="s">
        <v>15</v>
      </c>
      <c r="D9367" s="9">
        <v>0</v>
      </c>
      <c r="E9367" s="8">
        <v>383</v>
      </c>
    </row>
    <row r="9368" s="3" customFormat="1" ht="18.75" spans="1:5">
      <c r="A9368" s="8" t="str">
        <f t="shared" si="161"/>
        <v>250036</v>
      </c>
      <c r="B9368" s="8" t="str">
        <f>"2561409013811"</f>
        <v>2561409013811</v>
      </c>
      <c r="C9368" s="8" t="s">
        <v>15</v>
      </c>
      <c r="D9368" s="9">
        <v>0</v>
      </c>
      <c r="E9368" s="8">
        <v>383</v>
      </c>
    </row>
    <row r="9369" s="3" customFormat="1" ht="18.75" spans="1:5">
      <c r="A9369" s="8" t="str">
        <f t="shared" si="161"/>
        <v>250036</v>
      </c>
      <c r="B9369" s="8" t="str">
        <f>"2561409013812"</f>
        <v>2561409013812</v>
      </c>
      <c r="C9369" s="8" t="s">
        <v>15</v>
      </c>
      <c r="D9369" s="9">
        <v>0</v>
      </c>
      <c r="E9369" s="8">
        <v>383</v>
      </c>
    </row>
    <row r="9370" s="3" customFormat="1" ht="18.75" spans="1:5">
      <c r="A9370" s="8" t="str">
        <f t="shared" si="161"/>
        <v>250036</v>
      </c>
      <c r="B9370" s="8" t="str">
        <f>"2561409013813"</f>
        <v>2561409013813</v>
      </c>
      <c r="C9370" s="8" t="s">
        <v>15</v>
      </c>
      <c r="D9370" s="9">
        <v>0</v>
      </c>
      <c r="E9370" s="8">
        <v>383</v>
      </c>
    </row>
    <row r="9371" s="3" customFormat="1" ht="18.75" spans="1:5">
      <c r="A9371" s="8" t="str">
        <f t="shared" ref="A9371:A9379" si="162">"250036"</f>
        <v>250036</v>
      </c>
      <c r="B9371" s="8" t="str">
        <f>"2561409013816"</f>
        <v>2561409013816</v>
      </c>
      <c r="C9371" s="8" t="s">
        <v>15</v>
      </c>
      <c r="D9371" s="9">
        <v>0</v>
      </c>
      <c r="E9371" s="8">
        <v>383</v>
      </c>
    </row>
    <row r="9372" s="3" customFormat="1" ht="18.75" spans="1:5">
      <c r="A9372" s="8" t="str">
        <f t="shared" si="162"/>
        <v>250036</v>
      </c>
      <c r="B9372" s="8" t="str">
        <f>"2561409013820"</f>
        <v>2561409013820</v>
      </c>
      <c r="C9372" s="8" t="s">
        <v>15</v>
      </c>
      <c r="D9372" s="9">
        <v>0</v>
      </c>
      <c r="E9372" s="8">
        <v>383</v>
      </c>
    </row>
    <row r="9373" s="3" customFormat="1" ht="18.75" spans="1:5">
      <c r="A9373" s="8" t="str">
        <f t="shared" si="162"/>
        <v>250036</v>
      </c>
      <c r="B9373" s="8" t="str">
        <f>"2561409013821"</f>
        <v>2561409013821</v>
      </c>
      <c r="C9373" s="8" t="s">
        <v>15</v>
      </c>
      <c r="D9373" s="9">
        <v>0</v>
      </c>
      <c r="E9373" s="8">
        <v>383</v>
      </c>
    </row>
    <row r="9374" s="3" customFormat="1" ht="18.75" spans="1:5">
      <c r="A9374" s="8" t="str">
        <f t="shared" si="162"/>
        <v>250036</v>
      </c>
      <c r="B9374" s="8" t="str">
        <f>"2561409013822"</f>
        <v>2561409013822</v>
      </c>
      <c r="C9374" s="8" t="s">
        <v>15</v>
      </c>
      <c r="D9374" s="9">
        <v>0</v>
      </c>
      <c r="E9374" s="8">
        <v>383</v>
      </c>
    </row>
    <row r="9375" s="3" customFormat="1" ht="18.75" spans="1:5">
      <c r="A9375" s="8" t="str">
        <f t="shared" si="162"/>
        <v>250036</v>
      </c>
      <c r="B9375" s="8" t="str">
        <f>"2561409013824"</f>
        <v>2561409013824</v>
      </c>
      <c r="C9375" s="8" t="s">
        <v>15</v>
      </c>
      <c r="D9375" s="9">
        <v>0</v>
      </c>
      <c r="E9375" s="8">
        <v>383</v>
      </c>
    </row>
    <row r="9376" s="3" customFormat="1" ht="18.75" spans="1:5">
      <c r="A9376" s="8" t="str">
        <f t="shared" si="162"/>
        <v>250036</v>
      </c>
      <c r="B9376" s="8" t="str">
        <f>"2561409013827"</f>
        <v>2561409013827</v>
      </c>
      <c r="C9376" s="8" t="s">
        <v>15</v>
      </c>
      <c r="D9376" s="9">
        <v>0</v>
      </c>
      <c r="E9376" s="8">
        <v>383</v>
      </c>
    </row>
    <row r="9377" s="3" customFormat="1" ht="18.75" spans="1:5">
      <c r="A9377" s="8" t="str">
        <f t="shared" si="162"/>
        <v>250036</v>
      </c>
      <c r="B9377" s="8" t="str">
        <f>"2561409013830"</f>
        <v>2561409013830</v>
      </c>
      <c r="C9377" s="8" t="s">
        <v>15</v>
      </c>
      <c r="D9377" s="9">
        <v>0</v>
      </c>
      <c r="E9377" s="8">
        <v>383</v>
      </c>
    </row>
    <row r="9378" s="3" customFormat="1" ht="18.75" spans="1:5">
      <c r="A9378" s="8" t="str">
        <f t="shared" si="162"/>
        <v>250036</v>
      </c>
      <c r="B9378" s="8" t="str">
        <f>"2561409013901"</f>
        <v>2561409013901</v>
      </c>
      <c r="C9378" s="8" t="s">
        <v>15</v>
      </c>
      <c r="D9378" s="9">
        <v>0</v>
      </c>
      <c r="E9378" s="8">
        <v>383</v>
      </c>
    </row>
    <row r="9379" s="3" customFormat="1" ht="18.75" spans="1:5">
      <c r="A9379" s="8" t="str">
        <f t="shared" si="162"/>
        <v>250036</v>
      </c>
      <c r="B9379" s="8" t="str">
        <f>"2561409013908"</f>
        <v>2561409013908</v>
      </c>
      <c r="C9379" s="8" t="s">
        <v>15</v>
      </c>
      <c r="D9379" s="9">
        <v>0</v>
      </c>
      <c r="E9379" s="8">
        <v>383</v>
      </c>
    </row>
    <row r="9380" s="3" customFormat="1" ht="18.75" spans="1:5">
      <c r="A9380" s="8" t="str">
        <f t="shared" ref="A9380:A9443" si="163">"250037"</f>
        <v>250037</v>
      </c>
      <c r="B9380" s="8" t="str">
        <f>"2561409014022"</f>
        <v>2561409014022</v>
      </c>
      <c r="C9380" s="8" t="s">
        <v>15</v>
      </c>
      <c r="D9380" s="9">
        <v>66.73</v>
      </c>
      <c r="E9380" s="8">
        <v>1</v>
      </c>
    </row>
    <row r="9381" s="3" customFormat="1" ht="18.75" spans="1:5">
      <c r="A9381" s="8" t="str">
        <f t="shared" si="163"/>
        <v>250037</v>
      </c>
      <c r="B9381" s="8" t="str">
        <f>"2561409014009"</f>
        <v>2561409014009</v>
      </c>
      <c r="C9381" s="8" t="s">
        <v>15</v>
      </c>
      <c r="D9381" s="9">
        <v>66.53</v>
      </c>
      <c r="E9381" s="8">
        <v>2</v>
      </c>
    </row>
    <row r="9382" s="3" customFormat="1" ht="18.75" spans="1:5">
      <c r="A9382" s="8" t="str">
        <f t="shared" si="163"/>
        <v>250037</v>
      </c>
      <c r="B9382" s="8" t="str">
        <f>"2561409013926"</f>
        <v>2561409013926</v>
      </c>
      <c r="C9382" s="8" t="s">
        <v>15</v>
      </c>
      <c r="D9382" s="9">
        <v>65.74</v>
      </c>
      <c r="E9382" s="8">
        <v>3</v>
      </c>
    </row>
    <row r="9383" s="3" customFormat="1" ht="18.75" spans="1:5">
      <c r="A9383" s="8" t="str">
        <f t="shared" si="163"/>
        <v>250037</v>
      </c>
      <c r="B9383" s="8" t="str">
        <f>"2561409014024"</f>
        <v>2561409014024</v>
      </c>
      <c r="C9383" s="8" t="s">
        <v>15</v>
      </c>
      <c r="D9383" s="9">
        <v>64.88</v>
      </c>
      <c r="E9383" s="8">
        <v>4</v>
      </c>
    </row>
    <row r="9384" s="3" customFormat="1" ht="18.75" spans="1:5">
      <c r="A9384" s="8" t="str">
        <f t="shared" si="163"/>
        <v>250037</v>
      </c>
      <c r="B9384" s="8" t="str">
        <f>"2561409014021"</f>
        <v>2561409014021</v>
      </c>
      <c r="C9384" s="8" t="s">
        <v>15</v>
      </c>
      <c r="D9384" s="9">
        <v>64.56</v>
      </c>
      <c r="E9384" s="8">
        <v>5</v>
      </c>
    </row>
    <row r="9385" s="3" customFormat="1" ht="18.75" spans="1:5">
      <c r="A9385" s="8" t="str">
        <f t="shared" si="163"/>
        <v>250037</v>
      </c>
      <c r="B9385" s="8" t="str">
        <f>"2561409014112"</f>
        <v>2561409014112</v>
      </c>
      <c r="C9385" s="8" t="s">
        <v>15</v>
      </c>
      <c r="D9385" s="9">
        <v>62.23</v>
      </c>
      <c r="E9385" s="8">
        <v>6</v>
      </c>
    </row>
    <row r="9386" s="3" customFormat="1" ht="18.75" spans="1:5">
      <c r="A9386" s="8" t="str">
        <f t="shared" si="163"/>
        <v>250037</v>
      </c>
      <c r="B9386" s="8" t="str">
        <f>"2561409014109"</f>
        <v>2561409014109</v>
      </c>
      <c r="C9386" s="8" t="s">
        <v>15</v>
      </c>
      <c r="D9386" s="9">
        <v>61.4</v>
      </c>
      <c r="E9386" s="8">
        <v>7</v>
      </c>
    </row>
    <row r="9387" s="3" customFormat="1" ht="18.75" spans="1:5">
      <c r="A9387" s="8" t="str">
        <f t="shared" si="163"/>
        <v>250037</v>
      </c>
      <c r="B9387" s="8" t="str">
        <f>"2561409014011"</f>
        <v>2561409014011</v>
      </c>
      <c r="C9387" s="8" t="s">
        <v>15</v>
      </c>
      <c r="D9387" s="9">
        <v>60.47</v>
      </c>
      <c r="E9387" s="8">
        <v>8</v>
      </c>
    </row>
    <row r="9388" s="3" customFormat="1" ht="18.75" spans="1:5">
      <c r="A9388" s="8" t="str">
        <f t="shared" si="163"/>
        <v>250037</v>
      </c>
      <c r="B9388" s="8" t="str">
        <f>"2561409014020"</f>
        <v>2561409014020</v>
      </c>
      <c r="C9388" s="8" t="s">
        <v>15</v>
      </c>
      <c r="D9388" s="9">
        <v>60.45</v>
      </c>
      <c r="E9388" s="8">
        <v>9</v>
      </c>
    </row>
    <row r="9389" s="3" customFormat="1" ht="18.75" spans="1:5">
      <c r="A9389" s="8" t="str">
        <f t="shared" si="163"/>
        <v>250037</v>
      </c>
      <c r="B9389" s="8" t="str">
        <f>"2561409014026"</f>
        <v>2561409014026</v>
      </c>
      <c r="C9389" s="8" t="s">
        <v>15</v>
      </c>
      <c r="D9389" s="9">
        <v>58.98</v>
      </c>
      <c r="E9389" s="8">
        <v>10</v>
      </c>
    </row>
    <row r="9390" s="3" customFormat="1" ht="18.75" spans="1:5">
      <c r="A9390" s="8" t="str">
        <f t="shared" si="163"/>
        <v>250037</v>
      </c>
      <c r="B9390" s="8" t="str">
        <f>"2561409014012"</f>
        <v>2561409014012</v>
      </c>
      <c r="C9390" s="8" t="s">
        <v>15</v>
      </c>
      <c r="D9390" s="9">
        <v>58.39</v>
      </c>
      <c r="E9390" s="8">
        <v>11</v>
      </c>
    </row>
    <row r="9391" s="3" customFormat="1" ht="18.75" spans="1:5">
      <c r="A9391" s="8" t="str">
        <f t="shared" si="163"/>
        <v>250037</v>
      </c>
      <c r="B9391" s="8" t="str">
        <f>"2561409013929"</f>
        <v>2561409013929</v>
      </c>
      <c r="C9391" s="8" t="s">
        <v>15</v>
      </c>
      <c r="D9391" s="9">
        <v>57.98</v>
      </c>
      <c r="E9391" s="8">
        <v>12</v>
      </c>
    </row>
    <row r="9392" s="3" customFormat="1" ht="18.75" spans="1:5">
      <c r="A9392" s="8" t="str">
        <f t="shared" si="163"/>
        <v>250037</v>
      </c>
      <c r="B9392" s="8" t="str">
        <f>"2561409014101"</f>
        <v>2561409014101</v>
      </c>
      <c r="C9392" s="8" t="s">
        <v>15</v>
      </c>
      <c r="D9392" s="9">
        <v>57.33</v>
      </c>
      <c r="E9392" s="8">
        <v>13</v>
      </c>
    </row>
    <row r="9393" s="3" customFormat="1" ht="18.75" spans="1:5">
      <c r="A9393" s="8" t="str">
        <f t="shared" si="163"/>
        <v>250037</v>
      </c>
      <c r="B9393" s="8" t="str">
        <f>"2561409014113"</f>
        <v>2561409014113</v>
      </c>
      <c r="C9393" s="8" t="s">
        <v>15</v>
      </c>
      <c r="D9393" s="9">
        <v>56.93</v>
      </c>
      <c r="E9393" s="8">
        <v>14</v>
      </c>
    </row>
    <row r="9394" s="3" customFormat="1" ht="18.75" spans="1:5">
      <c r="A9394" s="8" t="str">
        <f t="shared" si="163"/>
        <v>250037</v>
      </c>
      <c r="B9394" s="8" t="str">
        <f>"2561409014001"</f>
        <v>2561409014001</v>
      </c>
      <c r="C9394" s="8" t="s">
        <v>15</v>
      </c>
      <c r="D9394" s="9">
        <v>56.61</v>
      </c>
      <c r="E9394" s="8">
        <v>15</v>
      </c>
    </row>
    <row r="9395" s="3" customFormat="1" ht="18.75" spans="1:5">
      <c r="A9395" s="8" t="str">
        <f t="shared" si="163"/>
        <v>250037</v>
      </c>
      <c r="B9395" s="8" t="str">
        <f>"2561409014010"</f>
        <v>2561409014010</v>
      </c>
      <c r="C9395" s="8" t="s">
        <v>15</v>
      </c>
      <c r="D9395" s="9">
        <v>55.03</v>
      </c>
      <c r="E9395" s="8">
        <v>16</v>
      </c>
    </row>
    <row r="9396" s="3" customFormat="1" ht="18.75" spans="1:5">
      <c r="A9396" s="8" t="str">
        <f t="shared" si="163"/>
        <v>250037</v>
      </c>
      <c r="B9396" s="8" t="str">
        <f>"2561409014108"</f>
        <v>2561409014108</v>
      </c>
      <c r="C9396" s="8" t="s">
        <v>15</v>
      </c>
      <c r="D9396" s="9">
        <v>54.75</v>
      </c>
      <c r="E9396" s="8">
        <v>17</v>
      </c>
    </row>
    <row r="9397" s="3" customFormat="1" ht="18.75" spans="1:5">
      <c r="A9397" s="8" t="str">
        <f t="shared" si="163"/>
        <v>250037</v>
      </c>
      <c r="B9397" s="8" t="str">
        <f>"2561409014002"</f>
        <v>2561409014002</v>
      </c>
      <c r="C9397" s="8" t="s">
        <v>15</v>
      </c>
      <c r="D9397" s="9">
        <v>54.39</v>
      </c>
      <c r="E9397" s="8">
        <v>18</v>
      </c>
    </row>
    <row r="9398" s="3" customFormat="1" ht="18.75" spans="1:5">
      <c r="A9398" s="8" t="str">
        <f t="shared" si="163"/>
        <v>250037</v>
      </c>
      <c r="B9398" s="8" t="str">
        <f>"2561409013919"</f>
        <v>2561409013919</v>
      </c>
      <c r="C9398" s="8" t="s">
        <v>15</v>
      </c>
      <c r="D9398" s="9">
        <v>53.91</v>
      </c>
      <c r="E9398" s="8">
        <v>19</v>
      </c>
    </row>
    <row r="9399" s="3" customFormat="1" ht="18.75" spans="1:5">
      <c r="A9399" s="8" t="str">
        <f t="shared" si="163"/>
        <v>250037</v>
      </c>
      <c r="B9399" s="8" t="str">
        <f>"2561409014013"</f>
        <v>2561409014013</v>
      </c>
      <c r="C9399" s="8" t="s">
        <v>15</v>
      </c>
      <c r="D9399" s="9">
        <v>53.88</v>
      </c>
      <c r="E9399" s="8">
        <v>20</v>
      </c>
    </row>
    <row r="9400" s="3" customFormat="1" ht="18.75" spans="1:5">
      <c r="A9400" s="8" t="str">
        <f t="shared" si="163"/>
        <v>250037</v>
      </c>
      <c r="B9400" s="8" t="str">
        <f>"2561409014105"</f>
        <v>2561409014105</v>
      </c>
      <c r="C9400" s="8" t="s">
        <v>15</v>
      </c>
      <c r="D9400" s="9">
        <v>53.39</v>
      </c>
      <c r="E9400" s="8">
        <v>21</v>
      </c>
    </row>
    <row r="9401" s="3" customFormat="1" ht="18.75" spans="1:5">
      <c r="A9401" s="8" t="str">
        <f t="shared" si="163"/>
        <v>250037</v>
      </c>
      <c r="B9401" s="8" t="str">
        <f>"2561409013918"</f>
        <v>2561409013918</v>
      </c>
      <c r="C9401" s="8" t="s">
        <v>15</v>
      </c>
      <c r="D9401" s="9">
        <v>52.73</v>
      </c>
      <c r="E9401" s="8">
        <v>22</v>
      </c>
    </row>
    <row r="9402" s="3" customFormat="1" ht="18.75" spans="1:5">
      <c r="A9402" s="8" t="str">
        <f t="shared" si="163"/>
        <v>250037</v>
      </c>
      <c r="B9402" s="8" t="str">
        <f>"2561409014019"</f>
        <v>2561409014019</v>
      </c>
      <c r="C9402" s="8" t="s">
        <v>15</v>
      </c>
      <c r="D9402" s="9">
        <v>52.01</v>
      </c>
      <c r="E9402" s="8">
        <v>23</v>
      </c>
    </row>
    <row r="9403" s="3" customFormat="1" ht="18.75" spans="1:5">
      <c r="A9403" s="8" t="str">
        <f t="shared" si="163"/>
        <v>250037</v>
      </c>
      <c r="B9403" s="8" t="str">
        <f>"2561409013922"</f>
        <v>2561409013922</v>
      </c>
      <c r="C9403" s="8" t="s">
        <v>15</v>
      </c>
      <c r="D9403" s="9">
        <v>51.48</v>
      </c>
      <c r="E9403" s="8">
        <v>24</v>
      </c>
    </row>
    <row r="9404" s="3" customFormat="1" ht="18.75" spans="1:5">
      <c r="A9404" s="8" t="str">
        <f t="shared" si="163"/>
        <v>250037</v>
      </c>
      <c r="B9404" s="8" t="str">
        <f>"2561409014102"</f>
        <v>2561409014102</v>
      </c>
      <c r="C9404" s="8" t="s">
        <v>15</v>
      </c>
      <c r="D9404" s="9">
        <v>51.48</v>
      </c>
      <c r="E9404" s="8">
        <v>24</v>
      </c>
    </row>
    <row r="9405" s="3" customFormat="1" ht="18.75" spans="1:5">
      <c r="A9405" s="8" t="str">
        <f t="shared" si="163"/>
        <v>250037</v>
      </c>
      <c r="B9405" s="8" t="str">
        <f>"2561409013925"</f>
        <v>2561409013925</v>
      </c>
      <c r="C9405" s="8" t="s">
        <v>15</v>
      </c>
      <c r="D9405" s="9">
        <v>51.24</v>
      </c>
      <c r="E9405" s="8">
        <v>26</v>
      </c>
    </row>
    <row r="9406" s="3" customFormat="1" ht="18.75" spans="1:5">
      <c r="A9406" s="8" t="str">
        <f t="shared" si="163"/>
        <v>250037</v>
      </c>
      <c r="B9406" s="8" t="str">
        <f>"2561409014003"</f>
        <v>2561409014003</v>
      </c>
      <c r="C9406" s="8" t="s">
        <v>15</v>
      </c>
      <c r="D9406" s="9">
        <v>49.94</v>
      </c>
      <c r="E9406" s="8">
        <v>27</v>
      </c>
    </row>
    <row r="9407" s="3" customFormat="1" ht="18.75" spans="1:5">
      <c r="A9407" s="8" t="str">
        <f t="shared" si="163"/>
        <v>250037</v>
      </c>
      <c r="B9407" s="8" t="str">
        <f>"2561409014014"</f>
        <v>2561409014014</v>
      </c>
      <c r="C9407" s="8" t="s">
        <v>15</v>
      </c>
      <c r="D9407" s="9">
        <v>47.74</v>
      </c>
      <c r="E9407" s="8">
        <v>28</v>
      </c>
    </row>
    <row r="9408" s="3" customFormat="1" ht="18.75" spans="1:5">
      <c r="A9408" s="8" t="str">
        <f t="shared" si="163"/>
        <v>250037</v>
      </c>
      <c r="B9408" s="8" t="str">
        <f>"2561409014103"</f>
        <v>2561409014103</v>
      </c>
      <c r="C9408" s="8" t="s">
        <v>15</v>
      </c>
      <c r="D9408" s="9">
        <v>43.81</v>
      </c>
      <c r="E9408" s="8">
        <v>29</v>
      </c>
    </row>
    <row r="9409" s="3" customFormat="1" ht="18.75" spans="1:5">
      <c r="A9409" s="8" t="str">
        <f t="shared" si="163"/>
        <v>250037</v>
      </c>
      <c r="B9409" s="8" t="str">
        <f>"2561409014005"</f>
        <v>2561409014005</v>
      </c>
      <c r="C9409" s="8" t="s">
        <v>15</v>
      </c>
      <c r="D9409" s="9">
        <v>43.2</v>
      </c>
      <c r="E9409" s="8">
        <v>30</v>
      </c>
    </row>
    <row r="9410" s="3" customFormat="1" ht="18.75" spans="1:5">
      <c r="A9410" s="8" t="str">
        <f t="shared" si="163"/>
        <v>250037</v>
      </c>
      <c r="B9410" s="8" t="str">
        <f>"2561409013917"</f>
        <v>2561409013917</v>
      </c>
      <c r="C9410" s="8" t="s">
        <v>15</v>
      </c>
      <c r="D9410" s="9">
        <v>40.84</v>
      </c>
      <c r="E9410" s="8">
        <v>31</v>
      </c>
    </row>
    <row r="9411" s="3" customFormat="1" ht="18.75" spans="1:5">
      <c r="A9411" s="8" t="str">
        <f t="shared" si="163"/>
        <v>250037</v>
      </c>
      <c r="B9411" s="8" t="str">
        <f>"2561409013916"</f>
        <v>2561409013916</v>
      </c>
      <c r="C9411" s="8" t="s">
        <v>15</v>
      </c>
      <c r="D9411" s="9">
        <v>39.02</v>
      </c>
      <c r="E9411" s="8">
        <v>32</v>
      </c>
    </row>
    <row r="9412" s="3" customFormat="1" ht="18.75" spans="1:5">
      <c r="A9412" s="8" t="str">
        <f t="shared" si="163"/>
        <v>250037</v>
      </c>
      <c r="B9412" s="8" t="str">
        <f>"2561409013920"</f>
        <v>2561409013920</v>
      </c>
      <c r="C9412" s="8" t="s">
        <v>15</v>
      </c>
      <c r="D9412" s="9">
        <v>38.99</v>
      </c>
      <c r="E9412" s="8">
        <v>33</v>
      </c>
    </row>
    <row r="9413" s="3" customFormat="1" ht="18.75" spans="1:5">
      <c r="A9413" s="8" t="str">
        <f t="shared" si="163"/>
        <v>250037</v>
      </c>
      <c r="B9413" s="8" t="str">
        <f>"2561409014107"</f>
        <v>2561409014107</v>
      </c>
      <c r="C9413" s="8" t="s">
        <v>15</v>
      </c>
      <c r="D9413" s="9">
        <v>37.81</v>
      </c>
      <c r="E9413" s="8">
        <v>34</v>
      </c>
    </row>
    <row r="9414" s="3" customFormat="1" ht="18.75" spans="1:5">
      <c r="A9414" s="8" t="str">
        <f t="shared" si="163"/>
        <v>250037</v>
      </c>
      <c r="B9414" s="8" t="str">
        <f>"2561409014027"</f>
        <v>2561409014027</v>
      </c>
      <c r="C9414" s="8" t="s">
        <v>15</v>
      </c>
      <c r="D9414" s="9">
        <v>35.49</v>
      </c>
      <c r="E9414" s="8">
        <v>35</v>
      </c>
    </row>
    <row r="9415" s="3" customFormat="1" ht="18.75" spans="1:5">
      <c r="A9415" s="8" t="str">
        <f t="shared" si="163"/>
        <v>250037</v>
      </c>
      <c r="B9415" s="8" t="str">
        <f>"2561409013909"</f>
        <v>2561409013909</v>
      </c>
      <c r="C9415" s="8" t="s">
        <v>15</v>
      </c>
      <c r="D9415" s="9">
        <v>0</v>
      </c>
      <c r="E9415" s="8">
        <v>36</v>
      </c>
    </row>
    <row r="9416" s="3" customFormat="1" ht="18.75" spans="1:5">
      <c r="A9416" s="8" t="str">
        <f t="shared" si="163"/>
        <v>250037</v>
      </c>
      <c r="B9416" s="8" t="str">
        <f>"2561409013910"</f>
        <v>2561409013910</v>
      </c>
      <c r="C9416" s="8" t="s">
        <v>15</v>
      </c>
      <c r="D9416" s="9">
        <v>0</v>
      </c>
      <c r="E9416" s="8">
        <v>36</v>
      </c>
    </row>
    <row r="9417" s="3" customFormat="1" ht="18.75" spans="1:5">
      <c r="A9417" s="8" t="str">
        <f t="shared" si="163"/>
        <v>250037</v>
      </c>
      <c r="B9417" s="8" t="str">
        <f>"2561409013911"</f>
        <v>2561409013911</v>
      </c>
      <c r="C9417" s="8" t="s">
        <v>15</v>
      </c>
      <c r="D9417" s="9">
        <v>0</v>
      </c>
      <c r="E9417" s="8">
        <v>36</v>
      </c>
    </row>
    <row r="9418" s="3" customFormat="1" ht="18.75" spans="1:5">
      <c r="A9418" s="8" t="str">
        <f t="shared" si="163"/>
        <v>250037</v>
      </c>
      <c r="B9418" s="8" t="str">
        <f>"2561409013912"</f>
        <v>2561409013912</v>
      </c>
      <c r="C9418" s="8" t="s">
        <v>15</v>
      </c>
      <c r="D9418" s="9">
        <v>0</v>
      </c>
      <c r="E9418" s="8">
        <v>36</v>
      </c>
    </row>
    <row r="9419" s="3" customFormat="1" ht="18.75" spans="1:5">
      <c r="A9419" s="8" t="str">
        <f t="shared" si="163"/>
        <v>250037</v>
      </c>
      <c r="B9419" s="8" t="str">
        <f>"2561409013913"</f>
        <v>2561409013913</v>
      </c>
      <c r="C9419" s="8" t="s">
        <v>15</v>
      </c>
      <c r="D9419" s="9">
        <v>0</v>
      </c>
      <c r="E9419" s="8">
        <v>36</v>
      </c>
    </row>
    <row r="9420" s="3" customFormat="1" ht="18.75" spans="1:5">
      <c r="A9420" s="8" t="str">
        <f t="shared" si="163"/>
        <v>250037</v>
      </c>
      <c r="B9420" s="8" t="str">
        <f>"2561409013914"</f>
        <v>2561409013914</v>
      </c>
      <c r="C9420" s="8" t="s">
        <v>15</v>
      </c>
      <c r="D9420" s="9">
        <v>0</v>
      </c>
      <c r="E9420" s="8">
        <v>36</v>
      </c>
    </row>
    <row r="9421" s="3" customFormat="1" ht="18.75" spans="1:5">
      <c r="A9421" s="8" t="str">
        <f t="shared" si="163"/>
        <v>250037</v>
      </c>
      <c r="B9421" s="8" t="str">
        <f>"2561409013915"</f>
        <v>2561409013915</v>
      </c>
      <c r="C9421" s="8" t="s">
        <v>15</v>
      </c>
      <c r="D9421" s="9">
        <v>0</v>
      </c>
      <c r="E9421" s="8">
        <v>36</v>
      </c>
    </row>
    <row r="9422" s="3" customFormat="1" ht="18.75" spans="1:5">
      <c r="A9422" s="8" t="str">
        <f t="shared" si="163"/>
        <v>250037</v>
      </c>
      <c r="B9422" s="8" t="str">
        <f>"2561409013921"</f>
        <v>2561409013921</v>
      </c>
      <c r="C9422" s="8" t="s">
        <v>15</v>
      </c>
      <c r="D9422" s="9">
        <v>0</v>
      </c>
      <c r="E9422" s="8">
        <v>36</v>
      </c>
    </row>
    <row r="9423" s="3" customFormat="1" ht="18.75" spans="1:5">
      <c r="A9423" s="8" t="str">
        <f t="shared" si="163"/>
        <v>250037</v>
      </c>
      <c r="B9423" s="8" t="str">
        <f>"2561409013923"</f>
        <v>2561409013923</v>
      </c>
      <c r="C9423" s="8" t="s">
        <v>15</v>
      </c>
      <c r="D9423" s="9">
        <v>0</v>
      </c>
      <c r="E9423" s="8">
        <v>36</v>
      </c>
    </row>
    <row r="9424" s="3" customFormat="1" ht="18.75" spans="1:5">
      <c r="A9424" s="8" t="str">
        <f t="shared" si="163"/>
        <v>250037</v>
      </c>
      <c r="B9424" s="8" t="str">
        <f>"2561409013924"</f>
        <v>2561409013924</v>
      </c>
      <c r="C9424" s="8" t="s">
        <v>15</v>
      </c>
      <c r="D9424" s="9">
        <v>0</v>
      </c>
      <c r="E9424" s="8">
        <v>36</v>
      </c>
    </row>
    <row r="9425" s="3" customFormat="1" ht="18.75" spans="1:5">
      <c r="A9425" s="8" t="str">
        <f t="shared" si="163"/>
        <v>250037</v>
      </c>
      <c r="B9425" s="8" t="str">
        <f>"2561409013927"</f>
        <v>2561409013927</v>
      </c>
      <c r="C9425" s="8" t="s">
        <v>15</v>
      </c>
      <c r="D9425" s="9">
        <v>0</v>
      </c>
      <c r="E9425" s="8">
        <v>36</v>
      </c>
    </row>
    <row r="9426" s="3" customFormat="1" ht="18.75" spans="1:5">
      <c r="A9426" s="8" t="str">
        <f t="shared" si="163"/>
        <v>250037</v>
      </c>
      <c r="B9426" s="8" t="str">
        <f>"2561409013928"</f>
        <v>2561409013928</v>
      </c>
      <c r="C9426" s="8" t="s">
        <v>15</v>
      </c>
      <c r="D9426" s="9">
        <v>0</v>
      </c>
      <c r="E9426" s="8">
        <v>36</v>
      </c>
    </row>
    <row r="9427" s="3" customFormat="1" ht="18.75" spans="1:5">
      <c r="A9427" s="8" t="str">
        <f t="shared" si="163"/>
        <v>250037</v>
      </c>
      <c r="B9427" s="8" t="str">
        <f>"2561409013930"</f>
        <v>2561409013930</v>
      </c>
      <c r="C9427" s="8" t="s">
        <v>15</v>
      </c>
      <c r="D9427" s="9">
        <v>0</v>
      </c>
      <c r="E9427" s="8">
        <v>36</v>
      </c>
    </row>
    <row r="9428" s="3" customFormat="1" ht="18.75" spans="1:5">
      <c r="A9428" s="8" t="str">
        <f t="shared" si="163"/>
        <v>250037</v>
      </c>
      <c r="B9428" s="8" t="str">
        <f>"2561409014004"</f>
        <v>2561409014004</v>
      </c>
      <c r="C9428" s="8" t="s">
        <v>15</v>
      </c>
      <c r="D9428" s="9">
        <v>0</v>
      </c>
      <c r="E9428" s="8">
        <v>36</v>
      </c>
    </row>
    <row r="9429" s="3" customFormat="1" ht="18.75" spans="1:5">
      <c r="A9429" s="8" t="str">
        <f t="shared" si="163"/>
        <v>250037</v>
      </c>
      <c r="B9429" s="8" t="str">
        <f>"2561409014006"</f>
        <v>2561409014006</v>
      </c>
      <c r="C9429" s="8" t="s">
        <v>15</v>
      </c>
      <c r="D9429" s="9">
        <v>0</v>
      </c>
      <c r="E9429" s="8">
        <v>36</v>
      </c>
    </row>
    <row r="9430" s="3" customFormat="1" ht="18.75" spans="1:5">
      <c r="A9430" s="8" t="str">
        <f t="shared" si="163"/>
        <v>250037</v>
      </c>
      <c r="B9430" s="8" t="str">
        <f>"2561409014007"</f>
        <v>2561409014007</v>
      </c>
      <c r="C9430" s="8" t="s">
        <v>15</v>
      </c>
      <c r="D9430" s="9">
        <v>0</v>
      </c>
      <c r="E9430" s="8">
        <v>36</v>
      </c>
    </row>
    <row r="9431" s="3" customFormat="1" ht="18.75" spans="1:5">
      <c r="A9431" s="8" t="str">
        <f t="shared" si="163"/>
        <v>250037</v>
      </c>
      <c r="B9431" s="8" t="str">
        <f>"2561409014008"</f>
        <v>2561409014008</v>
      </c>
      <c r="C9431" s="8" t="s">
        <v>15</v>
      </c>
      <c r="D9431" s="9">
        <v>0</v>
      </c>
      <c r="E9431" s="8">
        <v>36</v>
      </c>
    </row>
    <row r="9432" s="3" customFormat="1" ht="18.75" spans="1:5">
      <c r="A9432" s="8" t="str">
        <f t="shared" si="163"/>
        <v>250037</v>
      </c>
      <c r="B9432" s="8" t="str">
        <f>"2561409014015"</f>
        <v>2561409014015</v>
      </c>
      <c r="C9432" s="8" t="s">
        <v>15</v>
      </c>
      <c r="D9432" s="9">
        <v>0</v>
      </c>
      <c r="E9432" s="8">
        <v>36</v>
      </c>
    </row>
    <row r="9433" s="3" customFormat="1" ht="18.75" spans="1:5">
      <c r="A9433" s="8" t="str">
        <f t="shared" si="163"/>
        <v>250037</v>
      </c>
      <c r="B9433" s="8" t="str">
        <f>"2561409014016"</f>
        <v>2561409014016</v>
      </c>
      <c r="C9433" s="8" t="s">
        <v>15</v>
      </c>
      <c r="D9433" s="9">
        <v>0</v>
      </c>
      <c r="E9433" s="8">
        <v>36</v>
      </c>
    </row>
    <row r="9434" s="3" customFormat="1" ht="18.75" spans="1:5">
      <c r="A9434" s="8" t="str">
        <f t="shared" si="163"/>
        <v>250037</v>
      </c>
      <c r="B9434" s="8" t="str">
        <f>"2561409014017"</f>
        <v>2561409014017</v>
      </c>
      <c r="C9434" s="8" t="s">
        <v>15</v>
      </c>
      <c r="D9434" s="9">
        <v>0</v>
      </c>
      <c r="E9434" s="8">
        <v>36</v>
      </c>
    </row>
    <row r="9435" s="3" customFormat="1" ht="18.75" spans="1:5">
      <c r="A9435" s="8" t="str">
        <f t="shared" si="163"/>
        <v>250037</v>
      </c>
      <c r="B9435" s="8" t="str">
        <f>"2561409014018"</f>
        <v>2561409014018</v>
      </c>
      <c r="C9435" s="8" t="s">
        <v>15</v>
      </c>
      <c r="D9435" s="9">
        <v>0</v>
      </c>
      <c r="E9435" s="8">
        <v>36</v>
      </c>
    </row>
    <row r="9436" s="3" customFormat="1" ht="18.75" spans="1:5">
      <c r="A9436" s="8" t="str">
        <f t="shared" si="163"/>
        <v>250037</v>
      </c>
      <c r="B9436" s="8" t="str">
        <f>"2561409014023"</f>
        <v>2561409014023</v>
      </c>
      <c r="C9436" s="8" t="s">
        <v>15</v>
      </c>
      <c r="D9436" s="9">
        <v>0</v>
      </c>
      <c r="E9436" s="8">
        <v>36</v>
      </c>
    </row>
    <row r="9437" s="3" customFormat="1" ht="18.75" spans="1:5">
      <c r="A9437" s="8" t="str">
        <f t="shared" si="163"/>
        <v>250037</v>
      </c>
      <c r="B9437" s="8" t="str">
        <f>"2561409014025"</f>
        <v>2561409014025</v>
      </c>
      <c r="C9437" s="8" t="s">
        <v>15</v>
      </c>
      <c r="D9437" s="9">
        <v>0</v>
      </c>
      <c r="E9437" s="8">
        <v>36</v>
      </c>
    </row>
    <row r="9438" s="3" customFormat="1" ht="18.75" spans="1:5">
      <c r="A9438" s="8" t="str">
        <f t="shared" si="163"/>
        <v>250037</v>
      </c>
      <c r="B9438" s="8" t="str">
        <f>"2561409014028"</f>
        <v>2561409014028</v>
      </c>
      <c r="C9438" s="8" t="s">
        <v>15</v>
      </c>
      <c r="D9438" s="9">
        <v>0</v>
      </c>
      <c r="E9438" s="8">
        <v>36</v>
      </c>
    </row>
    <row r="9439" s="3" customFormat="1" ht="18.75" spans="1:5">
      <c r="A9439" s="8" t="str">
        <f t="shared" si="163"/>
        <v>250037</v>
      </c>
      <c r="B9439" s="8" t="str">
        <f>"2561409014029"</f>
        <v>2561409014029</v>
      </c>
      <c r="C9439" s="8" t="s">
        <v>15</v>
      </c>
      <c r="D9439" s="9">
        <v>0</v>
      </c>
      <c r="E9439" s="8">
        <v>36</v>
      </c>
    </row>
    <row r="9440" s="3" customFormat="1" ht="18.75" spans="1:5">
      <c r="A9440" s="8" t="str">
        <f t="shared" si="163"/>
        <v>250037</v>
      </c>
      <c r="B9440" s="8" t="str">
        <f>"2561409014030"</f>
        <v>2561409014030</v>
      </c>
      <c r="C9440" s="8" t="s">
        <v>15</v>
      </c>
      <c r="D9440" s="9">
        <v>0</v>
      </c>
      <c r="E9440" s="8">
        <v>36</v>
      </c>
    </row>
    <row r="9441" s="3" customFormat="1" ht="18.75" spans="1:5">
      <c r="A9441" s="8" t="str">
        <f t="shared" si="163"/>
        <v>250037</v>
      </c>
      <c r="B9441" s="8" t="str">
        <f>"2561409014104"</f>
        <v>2561409014104</v>
      </c>
      <c r="C9441" s="8" t="s">
        <v>15</v>
      </c>
      <c r="D9441" s="9">
        <v>0</v>
      </c>
      <c r="E9441" s="8">
        <v>36</v>
      </c>
    </row>
    <row r="9442" s="3" customFormat="1" ht="18.75" spans="1:5">
      <c r="A9442" s="8" t="str">
        <f t="shared" si="163"/>
        <v>250037</v>
      </c>
      <c r="B9442" s="8" t="str">
        <f>"2561409014106"</f>
        <v>2561409014106</v>
      </c>
      <c r="C9442" s="8" t="s">
        <v>15</v>
      </c>
      <c r="D9442" s="9">
        <v>0</v>
      </c>
      <c r="E9442" s="8">
        <v>36</v>
      </c>
    </row>
    <row r="9443" s="3" customFormat="1" ht="18.75" spans="1:5">
      <c r="A9443" s="8" t="str">
        <f t="shared" si="163"/>
        <v>250037</v>
      </c>
      <c r="B9443" s="8" t="str">
        <f>"2561409014110"</f>
        <v>2561409014110</v>
      </c>
      <c r="C9443" s="8" t="s">
        <v>15</v>
      </c>
      <c r="D9443" s="9">
        <v>0</v>
      </c>
      <c r="E9443" s="8">
        <v>36</v>
      </c>
    </row>
    <row r="9444" s="3" customFormat="1" ht="18.75" spans="1:5">
      <c r="A9444" s="8" t="str">
        <f>"250037"</f>
        <v>250037</v>
      </c>
      <c r="B9444" s="8" t="str">
        <f>"2561409014111"</f>
        <v>2561409014111</v>
      </c>
      <c r="C9444" s="8" t="s">
        <v>15</v>
      </c>
      <c r="D9444" s="9">
        <v>0</v>
      </c>
      <c r="E9444" s="8">
        <v>36</v>
      </c>
    </row>
    <row r="9445" s="3" customFormat="1" ht="18.75" spans="1:5">
      <c r="A9445" s="8" t="str">
        <f>"250037"</f>
        <v>250037</v>
      </c>
      <c r="B9445" s="8" t="str">
        <f>"2561409014114"</f>
        <v>2561409014114</v>
      </c>
      <c r="C9445" s="8" t="s">
        <v>15</v>
      </c>
      <c r="D9445" s="9">
        <v>0</v>
      </c>
      <c r="E9445" s="8">
        <v>36</v>
      </c>
    </row>
    <row r="9446" s="3" customFormat="1" ht="18.75" spans="1:5">
      <c r="A9446" s="8" t="str">
        <f t="shared" ref="A9446:A9509" si="164">"250038"</f>
        <v>250038</v>
      </c>
      <c r="B9446" s="8" t="str">
        <f>"2561409014311"</f>
        <v>2561409014311</v>
      </c>
      <c r="C9446" s="8" t="s">
        <v>15</v>
      </c>
      <c r="D9446" s="9">
        <v>72.14</v>
      </c>
      <c r="E9446" s="8">
        <v>1</v>
      </c>
    </row>
    <row r="9447" s="3" customFormat="1" ht="18.75" spans="1:5">
      <c r="A9447" s="8" t="str">
        <f t="shared" si="164"/>
        <v>250038</v>
      </c>
      <c r="B9447" s="8" t="str">
        <f>"2561409014218"</f>
        <v>2561409014218</v>
      </c>
      <c r="C9447" s="8" t="s">
        <v>15</v>
      </c>
      <c r="D9447" s="9">
        <v>67.64</v>
      </c>
      <c r="E9447" s="8">
        <v>2</v>
      </c>
    </row>
    <row r="9448" s="3" customFormat="1" ht="18.75" spans="1:5">
      <c r="A9448" s="8" t="str">
        <f t="shared" si="164"/>
        <v>250038</v>
      </c>
      <c r="B9448" s="8" t="str">
        <f>"2561409014906"</f>
        <v>2561409014906</v>
      </c>
      <c r="C9448" s="8" t="s">
        <v>15</v>
      </c>
      <c r="D9448" s="9">
        <v>67.09</v>
      </c>
      <c r="E9448" s="8">
        <v>3</v>
      </c>
    </row>
    <row r="9449" s="3" customFormat="1" ht="18.75" spans="1:5">
      <c r="A9449" s="8" t="str">
        <f t="shared" si="164"/>
        <v>250038</v>
      </c>
      <c r="B9449" s="8" t="str">
        <f>"2561409014515"</f>
        <v>2561409014515</v>
      </c>
      <c r="C9449" s="8" t="s">
        <v>15</v>
      </c>
      <c r="D9449" s="9">
        <v>66.83</v>
      </c>
      <c r="E9449" s="8">
        <v>4</v>
      </c>
    </row>
    <row r="9450" s="3" customFormat="1" ht="18.75" spans="1:5">
      <c r="A9450" s="8" t="str">
        <f t="shared" si="164"/>
        <v>250038</v>
      </c>
      <c r="B9450" s="8" t="str">
        <f>"2561409015112"</f>
        <v>2561409015112</v>
      </c>
      <c r="C9450" s="8" t="s">
        <v>15</v>
      </c>
      <c r="D9450" s="9">
        <v>66.76</v>
      </c>
      <c r="E9450" s="8">
        <v>5</v>
      </c>
    </row>
    <row r="9451" s="3" customFormat="1" ht="18.75" spans="1:5">
      <c r="A9451" s="8" t="str">
        <f t="shared" si="164"/>
        <v>250038</v>
      </c>
      <c r="B9451" s="8" t="str">
        <f>"2561409015027"</f>
        <v>2561409015027</v>
      </c>
      <c r="C9451" s="8" t="s">
        <v>15</v>
      </c>
      <c r="D9451" s="9">
        <v>66.68</v>
      </c>
      <c r="E9451" s="8">
        <v>6</v>
      </c>
    </row>
    <row r="9452" s="3" customFormat="1" ht="18.75" spans="1:5">
      <c r="A9452" s="8" t="str">
        <f t="shared" si="164"/>
        <v>250038</v>
      </c>
      <c r="B9452" s="8" t="str">
        <f>"2561409015108"</f>
        <v>2561409015108</v>
      </c>
      <c r="C9452" s="8" t="s">
        <v>15</v>
      </c>
      <c r="D9452" s="9">
        <v>66.27</v>
      </c>
      <c r="E9452" s="8">
        <v>7</v>
      </c>
    </row>
    <row r="9453" s="3" customFormat="1" ht="18.75" spans="1:5">
      <c r="A9453" s="8" t="str">
        <f t="shared" si="164"/>
        <v>250038</v>
      </c>
      <c r="B9453" s="8" t="str">
        <f>"2561409014609"</f>
        <v>2561409014609</v>
      </c>
      <c r="C9453" s="8" t="s">
        <v>15</v>
      </c>
      <c r="D9453" s="9">
        <v>65.93</v>
      </c>
      <c r="E9453" s="8">
        <v>8</v>
      </c>
    </row>
    <row r="9454" s="3" customFormat="1" ht="18.75" spans="1:5">
      <c r="A9454" s="8" t="str">
        <f t="shared" si="164"/>
        <v>250038</v>
      </c>
      <c r="B9454" s="8" t="str">
        <f>"2561409015019"</f>
        <v>2561409015019</v>
      </c>
      <c r="C9454" s="8" t="s">
        <v>15</v>
      </c>
      <c r="D9454" s="9">
        <v>65.67</v>
      </c>
      <c r="E9454" s="8">
        <v>9</v>
      </c>
    </row>
    <row r="9455" s="3" customFormat="1" ht="18.75" spans="1:5">
      <c r="A9455" s="8" t="str">
        <f t="shared" si="164"/>
        <v>250038</v>
      </c>
      <c r="B9455" s="8" t="str">
        <f>"2561409014704"</f>
        <v>2561409014704</v>
      </c>
      <c r="C9455" s="8" t="s">
        <v>15</v>
      </c>
      <c r="D9455" s="9">
        <v>65.63</v>
      </c>
      <c r="E9455" s="8">
        <v>10</v>
      </c>
    </row>
    <row r="9456" s="3" customFormat="1" ht="18.75" spans="1:5">
      <c r="A9456" s="8" t="str">
        <f t="shared" si="164"/>
        <v>250038</v>
      </c>
      <c r="B9456" s="8" t="str">
        <f>"2561409014927"</f>
        <v>2561409014927</v>
      </c>
      <c r="C9456" s="8" t="s">
        <v>15</v>
      </c>
      <c r="D9456" s="9">
        <v>65.51</v>
      </c>
      <c r="E9456" s="8">
        <v>11</v>
      </c>
    </row>
    <row r="9457" s="3" customFormat="1" ht="18.75" spans="1:5">
      <c r="A9457" s="8" t="str">
        <f t="shared" si="164"/>
        <v>250038</v>
      </c>
      <c r="B9457" s="8" t="str">
        <f>"2561409014911"</f>
        <v>2561409014911</v>
      </c>
      <c r="C9457" s="8" t="s">
        <v>15</v>
      </c>
      <c r="D9457" s="9">
        <v>65.29</v>
      </c>
      <c r="E9457" s="8">
        <v>12</v>
      </c>
    </row>
    <row r="9458" s="3" customFormat="1" ht="18.75" spans="1:5">
      <c r="A9458" s="8" t="str">
        <f t="shared" si="164"/>
        <v>250038</v>
      </c>
      <c r="B9458" s="8" t="str">
        <f>"2561409015326"</f>
        <v>2561409015326</v>
      </c>
      <c r="C9458" s="8" t="s">
        <v>15</v>
      </c>
      <c r="D9458" s="9">
        <v>65.11</v>
      </c>
      <c r="E9458" s="8">
        <v>13</v>
      </c>
    </row>
    <row r="9459" s="3" customFormat="1" ht="18.75" spans="1:5">
      <c r="A9459" s="8" t="str">
        <f t="shared" si="164"/>
        <v>250038</v>
      </c>
      <c r="B9459" s="8" t="str">
        <f>"2561409015420"</f>
        <v>2561409015420</v>
      </c>
      <c r="C9459" s="8" t="s">
        <v>15</v>
      </c>
      <c r="D9459" s="9">
        <v>65.02</v>
      </c>
      <c r="E9459" s="8">
        <v>14</v>
      </c>
    </row>
    <row r="9460" s="3" customFormat="1" ht="18.75" spans="1:5">
      <c r="A9460" s="8" t="str">
        <f t="shared" si="164"/>
        <v>250038</v>
      </c>
      <c r="B9460" s="8" t="str">
        <f>"2561409014519"</f>
        <v>2561409014519</v>
      </c>
      <c r="C9460" s="8" t="s">
        <v>15</v>
      </c>
      <c r="D9460" s="9">
        <v>64.96</v>
      </c>
      <c r="E9460" s="8">
        <v>15</v>
      </c>
    </row>
    <row r="9461" s="3" customFormat="1" ht="18.75" spans="1:5">
      <c r="A9461" s="8" t="str">
        <f t="shared" si="164"/>
        <v>250038</v>
      </c>
      <c r="B9461" s="8" t="str">
        <f>"2561409015126"</f>
        <v>2561409015126</v>
      </c>
      <c r="C9461" s="8" t="s">
        <v>15</v>
      </c>
      <c r="D9461" s="9">
        <v>64.86</v>
      </c>
      <c r="E9461" s="8">
        <v>16</v>
      </c>
    </row>
    <row r="9462" s="3" customFormat="1" ht="18.75" spans="1:5">
      <c r="A9462" s="8" t="str">
        <f t="shared" si="164"/>
        <v>250038</v>
      </c>
      <c r="B9462" s="8" t="str">
        <f>"2561409014204"</f>
        <v>2561409014204</v>
      </c>
      <c r="C9462" s="8" t="s">
        <v>15</v>
      </c>
      <c r="D9462" s="9">
        <v>64.79</v>
      </c>
      <c r="E9462" s="8">
        <v>17</v>
      </c>
    </row>
    <row r="9463" s="3" customFormat="1" ht="18.75" spans="1:5">
      <c r="A9463" s="8" t="str">
        <f t="shared" si="164"/>
        <v>250038</v>
      </c>
      <c r="B9463" s="8" t="str">
        <f>"2561409015023"</f>
        <v>2561409015023</v>
      </c>
      <c r="C9463" s="8" t="s">
        <v>15</v>
      </c>
      <c r="D9463" s="9">
        <v>64.7</v>
      </c>
      <c r="E9463" s="8">
        <v>18</v>
      </c>
    </row>
    <row r="9464" s="3" customFormat="1" ht="18.75" spans="1:5">
      <c r="A9464" s="8" t="str">
        <f t="shared" si="164"/>
        <v>250038</v>
      </c>
      <c r="B9464" s="8" t="str">
        <f>"2561409014119"</f>
        <v>2561409014119</v>
      </c>
      <c r="C9464" s="8" t="s">
        <v>15</v>
      </c>
      <c r="D9464" s="9">
        <v>64.55</v>
      </c>
      <c r="E9464" s="8">
        <v>19</v>
      </c>
    </row>
    <row r="9465" s="3" customFormat="1" ht="18.75" spans="1:5">
      <c r="A9465" s="8" t="str">
        <f t="shared" si="164"/>
        <v>250038</v>
      </c>
      <c r="B9465" s="8" t="str">
        <f>"2561409015006"</f>
        <v>2561409015006</v>
      </c>
      <c r="C9465" s="8" t="s">
        <v>15</v>
      </c>
      <c r="D9465" s="9">
        <v>64.52</v>
      </c>
      <c r="E9465" s="8">
        <v>20</v>
      </c>
    </row>
    <row r="9466" s="3" customFormat="1" ht="18.75" spans="1:5">
      <c r="A9466" s="8" t="str">
        <f t="shared" si="164"/>
        <v>250038</v>
      </c>
      <c r="B9466" s="8" t="str">
        <f>"2561409015223"</f>
        <v>2561409015223</v>
      </c>
      <c r="C9466" s="8" t="s">
        <v>15</v>
      </c>
      <c r="D9466" s="9">
        <v>64.48</v>
      </c>
      <c r="E9466" s="8">
        <v>21</v>
      </c>
    </row>
    <row r="9467" s="3" customFormat="1" ht="18.75" spans="1:5">
      <c r="A9467" s="8" t="str">
        <f t="shared" si="164"/>
        <v>250038</v>
      </c>
      <c r="B9467" s="8" t="str">
        <f>"2561409014417"</f>
        <v>2561409014417</v>
      </c>
      <c r="C9467" s="8" t="s">
        <v>15</v>
      </c>
      <c r="D9467" s="9">
        <v>64.46</v>
      </c>
      <c r="E9467" s="8">
        <v>22</v>
      </c>
    </row>
    <row r="9468" s="3" customFormat="1" ht="18.75" spans="1:5">
      <c r="A9468" s="8" t="str">
        <f t="shared" si="164"/>
        <v>250038</v>
      </c>
      <c r="B9468" s="8" t="str">
        <f>"2561409015201"</f>
        <v>2561409015201</v>
      </c>
      <c r="C9468" s="8" t="s">
        <v>15</v>
      </c>
      <c r="D9468" s="9">
        <v>64.36</v>
      </c>
      <c r="E9468" s="8">
        <v>23</v>
      </c>
    </row>
    <row r="9469" s="3" customFormat="1" ht="18.75" spans="1:5">
      <c r="A9469" s="8" t="str">
        <f t="shared" si="164"/>
        <v>250038</v>
      </c>
      <c r="B9469" s="8" t="str">
        <f>"2561409015211"</f>
        <v>2561409015211</v>
      </c>
      <c r="C9469" s="8" t="s">
        <v>15</v>
      </c>
      <c r="D9469" s="9">
        <v>64.16</v>
      </c>
      <c r="E9469" s="8">
        <v>24</v>
      </c>
    </row>
    <row r="9470" s="3" customFormat="1" ht="18.75" spans="1:5">
      <c r="A9470" s="8" t="str">
        <f t="shared" si="164"/>
        <v>250038</v>
      </c>
      <c r="B9470" s="8" t="str">
        <f>"2561409014804"</f>
        <v>2561409014804</v>
      </c>
      <c r="C9470" s="8" t="s">
        <v>15</v>
      </c>
      <c r="D9470" s="9">
        <v>64.14</v>
      </c>
      <c r="E9470" s="8">
        <v>25</v>
      </c>
    </row>
    <row r="9471" s="3" customFormat="1" ht="18.75" spans="1:5">
      <c r="A9471" s="8" t="str">
        <f t="shared" si="164"/>
        <v>250038</v>
      </c>
      <c r="B9471" s="8" t="str">
        <f>"2561409015022"</f>
        <v>2561409015022</v>
      </c>
      <c r="C9471" s="8" t="s">
        <v>15</v>
      </c>
      <c r="D9471" s="9">
        <v>64.06</v>
      </c>
      <c r="E9471" s="8">
        <v>26</v>
      </c>
    </row>
    <row r="9472" s="3" customFormat="1" ht="18.75" spans="1:5">
      <c r="A9472" s="8" t="str">
        <f t="shared" si="164"/>
        <v>250038</v>
      </c>
      <c r="B9472" s="8" t="str">
        <f>"2561409014122"</f>
        <v>2561409014122</v>
      </c>
      <c r="C9472" s="8" t="s">
        <v>15</v>
      </c>
      <c r="D9472" s="9">
        <v>63.71</v>
      </c>
      <c r="E9472" s="8">
        <v>27</v>
      </c>
    </row>
    <row r="9473" s="3" customFormat="1" ht="18.75" spans="1:5">
      <c r="A9473" s="8" t="str">
        <f t="shared" si="164"/>
        <v>250038</v>
      </c>
      <c r="B9473" s="8" t="str">
        <f>"2561409015224"</f>
        <v>2561409015224</v>
      </c>
      <c r="C9473" s="8" t="s">
        <v>15</v>
      </c>
      <c r="D9473" s="9">
        <v>63.57</v>
      </c>
      <c r="E9473" s="8">
        <v>28</v>
      </c>
    </row>
    <row r="9474" s="3" customFormat="1" ht="18.75" spans="1:5">
      <c r="A9474" s="8" t="str">
        <f t="shared" si="164"/>
        <v>250038</v>
      </c>
      <c r="B9474" s="8" t="str">
        <f>"2561409015312"</f>
        <v>2561409015312</v>
      </c>
      <c r="C9474" s="8" t="s">
        <v>15</v>
      </c>
      <c r="D9474" s="9">
        <v>63.49</v>
      </c>
      <c r="E9474" s="8">
        <v>29</v>
      </c>
    </row>
    <row r="9475" s="3" customFormat="1" ht="18.75" spans="1:5">
      <c r="A9475" s="8" t="str">
        <f t="shared" si="164"/>
        <v>250038</v>
      </c>
      <c r="B9475" s="8" t="str">
        <f>"2561409015217"</f>
        <v>2561409015217</v>
      </c>
      <c r="C9475" s="8" t="s">
        <v>15</v>
      </c>
      <c r="D9475" s="9">
        <v>63.47</v>
      </c>
      <c r="E9475" s="8">
        <v>30</v>
      </c>
    </row>
    <row r="9476" s="3" customFormat="1" ht="18.75" spans="1:5">
      <c r="A9476" s="8" t="str">
        <f t="shared" si="164"/>
        <v>250038</v>
      </c>
      <c r="B9476" s="8" t="str">
        <f>"2561409014317"</f>
        <v>2561409014317</v>
      </c>
      <c r="C9476" s="8" t="s">
        <v>15</v>
      </c>
      <c r="D9476" s="9">
        <v>63.45</v>
      </c>
      <c r="E9476" s="8">
        <v>31</v>
      </c>
    </row>
    <row r="9477" s="3" customFormat="1" ht="18.75" spans="1:5">
      <c r="A9477" s="8" t="str">
        <f t="shared" si="164"/>
        <v>250038</v>
      </c>
      <c r="B9477" s="8" t="str">
        <f>"2561409015016"</f>
        <v>2561409015016</v>
      </c>
      <c r="C9477" s="8" t="s">
        <v>15</v>
      </c>
      <c r="D9477" s="9">
        <v>63.43</v>
      </c>
      <c r="E9477" s="8">
        <v>32</v>
      </c>
    </row>
    <row r="9478" s="3" customFormat="1" ht="18.75" spans="1:5">
      <c r="A9478" s="8" t="str">
        <f t="shared" si="164"/>
        <v>250038</v>
      </c>
      <c r="B9478" s="8" t="str">
        <f>"2561409015220"</f>
        <v>2561409015220</v>
      </c>
      <c r="C9478" s="8" t="s">
        <v>15</v>
      </c>
      <c r="D9478" s="9">
        <v>63.1</v>
      </c>
      <c r="E9478" s="8">
        <v>33</v>
      </c>
    </row>
    <row r="9479" s="3" customFormat="1" ht="18.75" spans="1:5">
      <c r="A9479" s="8" t="str">
        <f t="shared" si="164"/>
        <v>250038</v>
      </c>
      <c r="B9479" s="8" t="str">
        <f>"2561409014211"</f>
        <v>2561409014211</v>
      </c>
      <c r="C9479" s="8" t="s">
        <v>15</v>
      </c>
      <c r="D9479" s="9">
        <v>62.94</v>
      </c>
      <c r="E9479" s="8">
        <v>34</v>
      </c>
    </row>
    <row r="9480" s="3" customFormat="1" ht="18.75" spans="1:5">
      <c r="A9480" s="8" t="str">
        <f t="shared" si="164"/>
        <v>250038</v>
      </c>
      <c r="B9480" s="8" t="str">
        <f>"2561409014226"</f>
        <v>2561409014226</v>
      </c>
      <c r="C9480" s="8" t="s">
        <v>15</v>
      </c>
      <c r="D9480" s="9">
        <v>62.93</v>
      </c>
      <c r="E9480" s="8">
        <v>35</v>
      </c>
    </row>
    <row r="9481" s="3" customFormat="1" ht="18.75" spans="1:5">
      <c r="A9481" s="8" t="str">
        <f t="shared" si="164"/>
        <v>250038</v>
      </c>
      <c r="B9481" s="8" t="str">
        <f>"2561409015210"</f>
        <v>2561409015210</v>
      </c>
      <c r="C9481" s="8" t="s">
        <v>15</v>
      </c>
      <c r="D9481" s="9">
        <v>62.84</v>
      </c>
      <c r="E9481" s="8">
        <v>36</v>
      </c>
    </row>
    <row r="9482" s="3" customFormat="1" ht="18.75" spans="1:5">
      <c r="A9482" s="8" t="str">
        <f t="shared" si="164"/>
        <v>250038</v>
      </c>
      <c r="B9482" s="8" t="str">
        <f>"2561409014922"</f>
        <v>2561409014922</v>
      </c>
      <c r="C9482" s="8" t="s">
        <v>15</v>
      </c>
      <c r="D9482" s="9">
        <v>62.61</v>
      </c>
      <c r="E9482" s="8">
        <v>37</v>
      </c>
    </row>
    <row r="9483" s="3" customFormat="1" ht="18.75" spans="1:5">
      <c r="A9483" s="8" t="str">
        <f t="shared" si="164"/>
        <v>250038</v>
      </c>
      <c r="B9483" s="8" t="str">
        <f>"2561409015111"</f>
        <v>2561409015111</v>
      </c>
      <c r="C9483" s="8" t="s">
        <v>15</v>
      </c>
      <c r="D9483" s="9">
        <v>62.46</v>
      </c>
      <c r="E9483" s="8">
        <v>38</v>
      </c>
    </row>
    <row r="9484" s="3" customFormat="1" ht="18.75" spans="1:5">
      <c r="A9484" s="8" t="str">
        <f t="shared" si="164"/>
        <v>250038</v>
      </c>
      <c r="B9484" s="8" t="str">
        <f>"2561409014125"</f>
        <v>2561409014125</v>
      </c>
      <c r="C9484" s="8" t="s">
        <v>15</v>
      </c>
      <c r="D9484" s="9">
        <v>62.09</v>
      </c>
      <c r="E9484" s="8">
        <v>39</v>
      </c>
    </row>
    <row r="9485" s="3" customFormat="1" ht="18.75" spans="1:5">
      <c r="A9485" s="8" t="str">
        <f t="shared" si="164"/>
        <v>250038</v>
      </c>
      <c r="B9485" s="8" t="str">
        <f>"2561409014622"</f>
        <v>2561409014622</v>
      </c>
      <c r="C9485" s="8" t="s">
        <v>15</v>
      </c>
      <c r="D9485" s="9">
        <v>62.08</v>
      </c>
      <c r="E9485" s="8">
        <v>40</v>
      </c>
    </row>
    <row r="9486" s="3" customFormat="1" ht="18.75" spans="1:5">
      <c r="A9486" s="8" t="str">
        <f t="shared" si="164"/>
        <v>250038</v>
      </c>
      <c r="B9486" s="8" t="str">
        <f>"2561409014616"</f>
        <v>2561409014616</v>
      </c>
      <c r="C9486" s="8" t="s">
        <v>15</v>
      </c>
      <c r="D9486" s="9">
        <v>62.05</v>
      </c>
      <c r="E9486" s="8">
        <v>41</v>
      </c>
    </row>
    <row r="9487" s="3" customFormat="1" ht="18.75" spans="1:5">
      <c r="A9487" s="8" t="str">
        <f t="shared" si="164"/>
        <v>250038</v>
      </c>
      <c r="B9487" s="8" t="str">
        <f>"2561409015418"</f>
        <v>2561409015418</v>
      </c>
      <c r="C9487" s="8" t="s">
        <v>15</v>
      </c>
      <c r="D9487" s="9">
        <v>61.9</v>
      </c>
      <c r="E9487" s="8">
        <v>42</v>
      </c>
    </row>
    <row r="9488" s="3" customFormat="1" ht="18.75" spans="1:5">
      <c r="A9488" s="8" t="str">
        <f t="shared" si="164"/>
        <v>250038</v>
      </c>
      <c r="B9488" s="8" t="str">
        <f>"2561409015002"</f>
        <v>2561409015002</v>
      </c>
      <c r="C9488" s="8" t="s">
        <v>15</v>
      </c>
      <c r="D9488" s="9">
        <v>61.87</v>
      </c>
      <c r="E9488" s="8">
        <v>43</v>
      </c>
    </row>
    <row r="9489" s="3" customFormat="1" ht="18.75" spans="1:5">
      <c r="A9489" s="8" t="str">
        <f t="shared" si="164"/>
        <v>250038</v>
      </c>
      <c r="B9489" s="8" t="str">
        <f>"2561409014327"</f>
        <v>2561409014327</v>
      </c>
      <c r="C9489" s="8" t="s">
        <v>15</v>
      </c>
      <c r="D9489" s="9">
        <v>61.75</v>
      </c>
      <c r="E9489" s="8">
        <v>44</v>
      </c>
    </row>
    <row r="9490" s="3" customFormat="1" ht="18.75" spans="1:5">
      <c r="A9490" s="8" t="str">
        <f t="shared" si="164"/>
        <v>250038</v>
      </c>
      <c r="B9490" s="8" t="str">
        <f>"2561409014219"</f>
        <v>2561409014219</v>
      </c>
      <c r="C9490" s="8" t="s">
        <v>15</v>
      </c>
      <c r="D9490" s="9">
        <v>61.65</v>
      </c>
      <c r="E9490" s="8">
        <v>45</v>
      </c>
    </row>
    <row r="9491" s="3" customFormat="1" ht="18.75" spans="1:5">
      <c r="A9491" s="8" t="str">
        <f t="shared" si="164"/>
        <v>250038</v>
      </c>
      <c r="B9491" s="8" t="str">
        <f>"2561409015327"</f>
        <v>2561409015327</v>
      </c>
      <c r="C9491" s="8" t="s">
        <v>15</v>
      </c>
      <c r="D9491" s="9">
        <v>61.54</v>
      </c>
      <c r="E9491" s="8">
        <v>46</v>
      </c>
    </row>
    <row r="9492" s="3" customFormat="1" ht="18.75" spans="1:5">
      <c r="A9492" s="8" t="str">
        <f t="shared" si="164"/>
        <v>250038</v>
      </c>
      <c r="B9492" s="8" t="str">
        <f>"2561409015107"</f>
        <v>2561409015107</v>
      </c>
      <c r="C9492" s="8" t="s">
        <v>15</v>
      </c>
      <c r="D9492" s="9">
        <v>61.4</v>
      </c>
      <c r="E9492" s="8">
        <v>47</v>
      </c>
    </row>
    <row r="9493" s="3" customFormat="1" ht="18.75" spans="1:5">
      <c r="A9493" s="8" t="str">
        <f t="shared" si="164"/>
        <v>250038</v>
      </c>
      <c r="B9493" s="8" t="str">
        <f>"2561409015324"</f>
        <v>2561409015324</v>
      </c>
      <c r="C9493" s="8" t="s">
        <v>15</v>
      </c>
      <c r="D9493" s="9">
        <v>61.3</v>
      </c>
      <c r="E9493" s="8">
        <v>48</v>
      </c>
    </row>
    <row r="9494" s="3" customFormat="1" ht="18.75" spans="1:5">
      <c r="A9494" s="8" t="str">
        <f t="shared" si="164"/>
        <v>250038</v>
      </c>
      <c r="B9494" s="8" t="str">
        <f>"2561409014511"</f>
        <v>2561409014511</v>
      </c>
      <c r="C9494" s="8" t="s">
        <v>15</v>
      </c>
      <c r="D9494" s="9">
        <v>61.11</v>
      </c>
      <c r="E9494" s="8">
        <v>49</v>
      </c>
    </row>
    <row r="9495" s="3" customFormat="1" ht="18.75" spans="1:5">
      <c r="A9495" s="8" t="str">
        <f t="shared" si="164"/>
        <v>250038</v>
      </c>
      <c r="B9495" s="8" t="str">
        <f>"2561409014424"</f>
        <v>2561409014424</v>
      </c>
      <c r="C9495" s="8" t="s">
        <v>15</v>
      </c>
      <c r="D9495" s="9">
        <v>61</v>
      </c>
      <c r="E9495" s="8">
        <v>50</v>
      </c>
    </row>
    <row r="9496" s="3" customFormat="1" ht="18.75" spans="1:5">
      <c r="A9496" s="8" t="str">
        <f t="shared" si="164"/>
        <v>250038</v>
      </c>
      <c r="B9496" s="8" t="str">
        <f>"2561409014714"</f>
        <v>2561409014714</v>
      </c>
      <c r="C9496" s="8" t="s">
        <v>15</v>
      </c>
      <c r="D9496" s="9">
        <v>60.98</v>
      </c>
      <c r="E9496" s="8">
        <v>51</v>
      </c>
    </row>
    <row r="9497" s="3" customFormat="1" ht="18.75" spans="1:5">
      <c r="A9497" s="8" t="str">
        <f t="shared" si="164"/>
        <v>250038</v>
      </c>
      <c r="B9497" s="8" t="str">
        <f>"2561409014409"</f>
        <v>2561409014409</v>
      </c>
      <c r="C9497" s="8" t="s">
        <v>15</v>
      </c>
      <c r="D9497" s="9">
        <v>60.57</v>
      </c>
      <c r="E9497" s="8">
        <v>52</v>
      </c>
    </row>
    <row r="9498" s="3" customFormat="1" ht="18.75" spans="1:5">
      <c r="A9498" s="8" t="str">
        <f t="shared" si="164"/>
        <v>250038</v>
      </c>
      <c r="B9498" s="8" t="str">
        <f>"2561409014722"</f>
        <v>2561409014722</v>
      </c>
      <c r="C9498" s="8" t="s">
        <v>15</v>
      </c>
      <c r="D9498" s="9">
        <v>60.24</v>
      </c>
      <c r="E9498" s="8">
        <v>53</v>
      </c>
    </row>
    <row r="9499" s="3" customFormat="1" ht="18.75" spans="1:5">
      <c r="A9499" s="8" t="str">
        <f t="shared" si="164"/>
        <v>250038</v>
      </c>
      <c r="B9499" s="8" t="str">
        <f>"2561409014408"</f>
        <v>2561409014408</v>
      </c>
      <c r="C9499" s="8" t="s">
        <v>15</v>
      </c>
      <c r="D9499" s="9">
        <v>60.23</v>
      </c>
      <c r="E9499" s="8">
        <v>54</v>
      </c>
    </row>
    <row r="9500" s="3" customFormat="1" ht="18.75" spans="1:5">
      <c r="A9500" s="8" t="str">
        <f t="shared" si="164"/>
        <v>250038</v>
      </c>
      <c r="B9500" s="8" t="str">
        <f>"2561409015225"</f>
        <v>2561409015225</v>
      </c>
      <c r="C9500" s="8" t="s">
        <v>15</v>
      </c>
      <c r="D9500" s="9">
        <v>60.23</v>
      </c>
      <c r="E9500" s="8">
        <v>54</v>
      </c>
    </row>
    <row r="9501" s="3" customFormat="1" ht="18.75" spans="1:5">
      <c r="A9501" s="8" t="str">
        <f t="shared" si="164"/>
        <v>250038</v>
      </c>
      <c r="B9501" s="8" t="str">
        <f>"2561409015017"</f>
        <v>2561409015017</v>
      </c>
      <c r="C9501" s="8" t="s">
        <v>15</v>
      </c>
      <c r="D9501" s="9">
        <v>60.18</v>
      </c>
      <c r="E9501" s="8">
        <v>56</v>
      </c>
    </row>
    <row r="9502" s="3" customFormat="1" ht="18.75" spans="1:5">
      <c r="A9502" s="8" t="str">
        <f t="shared" si="164"/>
        <v>250038</v>
      </c>
      <c r="B9502" s="8" t="str">
        <f>"2561409015419"</f>
        <v>2561409015419</v>
      </c>
      <c r="C9502" s="8" t="s">
        <v>15</v>
      </c>
      <c r="D9502" s="9">
        <v>60.08</v>
      </c>
      <c r="E9502" s="8">
        <v>57</v>
      </c>
    </row>
    <row r="9503" s="3" customFormat="1" ht="18.75" spans="1:5">
      <c r="A9503" s="8" t="str">
        <f t="shared" si="164"/>
        <v>250038</v>
      </c>
      <c r="B9503" s="8" t="str">
        <f>"2561409014302"</f>
        <v>2561409014302</v>
      </c>
      <c r="C9503" s="8" t="s">
        <v>15</v>
      </c>
      <c r="D9503" s="9">
        <v>60.06</v>
      </c>
      <c r="E9503" s="8">
        <v>58</v>
      </c>
    </row>
    <row r="9504" s="3" customFormat="1" ht="18.75" spans="1:5">
      <c r="A9504" s="8" t="str">
        <f t="shared" si="164"/>
        <v>250038</v>
      </c>
      <c r="B9504" s="8" t="str">
        <f>"2561409015414"</f>
        <v>2561409015414</v>
      </c>
      <c r="C9504" s="8" t="s">
        <v>15</v>
      </c>
      <c r="D9504" s="9">
        <v>60.06</v>
      </c>
      <c r="E9504" s="8">
        <v>58</v>
      </c>
    </row>
    <row r="9505" s="3" customFormat="1" ht="18.75" spans="1:5">
      <c r="A9505" s="8" t="str">
        <f t="shared" si="164"/>
        <v>250038</v>
      </c>
      <c r="B9505" s="8" t="str">
        <f>"2561409014909"</f>
        <v>2561409014909</v>
      </c>
      <c r="C9505" s="8" t="s">
        <v>15</v>
      </c>
      <c r="D9505" s="9">
        <v>60.04</v>
      </c>
      <c r="E9505" s="8">
        <v>60</v>
      </c>
    </row>
    <row r="9506" s="3" customFormat="1" ht="18.75" spans="1:5">
      <c r="A9506" s="8" t="str">
        <f t="shared" si="164"/>
        <v>250038</v>
      </c>
      <c r="B9506" s="8" t="str">
        <f>"2561409015008"</f>
        <v>2561409015008</v>
      </c>
      <c r="C9506" s="8" t="s">
        <v>15</v>
      </c>
      <c r="D9506" s="9">
        <v>59.94</v>
      </c>
      <c r="E9506" s="8">
        <v>61</v>
      </c>
    </row>
    <row r="9507" s="3" customFormat="1" ht="18.75" spans="1:5">
      <c r="A9507" s="8" t="str">
        <f t="shared" si="164"/>
        <v>250038</v>
      </c>
      <c r="B9507" s="8" t="str">
        <f>"2561409015311"</f>
        <v>2561409015311</v>
      </c>
      <c r="C9507" s="8" t="s">
        <v>15</v>
      </c>
      <c r="D9507" s="9">
        <v>59.86</v>
      </c>
      <c r="E9507" s="8">
        <v>62</v>
      </c>
    </row>
    <row r="9508" s="3" customFormat="1" ht="18.75" spans="1:5">
      <c r="A9508" s="8" t="str">
        <f t="shared" si="164"/>
        <v>250038</v>
      </c>
      <c r="B9508" s="8" t="str">
        <f>"2561409014521"</f>
        <v>2561409014521</v>
      </c>
      <c r="C9508" s="8" t="s">
        <v>15</v>
      </c>
      <c r="D9508" s="9">
        <v>59.85</v>
      </c>
      <c r="E9508" s="8">
        <v>63</v>
      </c>
    </row>
    <row r="9509" s="3" customFormat="1" ht="18.75" spans="1:5">
      <c r="A9509" s="8" t="str">
        <f t="shared" si="164"/>
        <v>250038</v>
      </c>
      <c r="B9509" s="8" t="str">
        <f>"2561409015119"</f>
        <v>2561409015119</v>
      </c>
      <c r="C9509" s="8" t="s">
        <v>15</v>
      </c>
      <c r="D9509" s="9">
        <v>59.85</v>
      </c>
      <c r="E9509" s="8">
        <v>63</v>
      </c>
    </row>
    <row r="9510" s="3" customFormat="1" ht="18.75" spans="1:5">
      <c r="A9510" s="8" t="str">
        <f t="shared" ref="A9510:A9573" si="165">"250038"</f>
        <v>250038</v>
      </c>
      <c r="B9510" s="8" t="str">
        <f>"2561409014926"</f>
        <v>2561409014926</v>
      </c>
      <c r="C9510" s="8" t="s">
        <v>15</v>
      </c>
      <c r="D9510" s="9">
        <v>59.74</v>
      </c>
      <c r="E9510" s="8">
        <v>65</v>
      </c>
    </row>
    <row r="9511" s="3" customFormat="1" ht="18.75" spans="1:5">
      <c r="A9511" s="8" t="str">
        <f t="shared" si="165"/>
        <v>250038</v>
      </c>
      <c r="B9511" s="8" t="str">
        <f>"2561409015011"</f>
        <v>2561409015011</v>
      </c>
      <c r="C9511" s="8" t="s">
        <v>15</v>
      </c>
      <c r="D9511" s="9">
        <v>59.55</v>
      </c>
      <c r="E9511" s="8">
        <v>66</v>
      </c>
    </row>
    <row r="9512" s="3" customFormat="1" ht="18.75" spans="1:5">
      <c r="A9512" s="8" t="str">
        <f t="shared" si="165"/>
        <v>250038</v>
      </c>
      <c r="B9512" s="8" t="str">
        <f>"2561409014128"</f>
        <v>2561409014128</v>
      </c>
      <c r="C9512" s="8" t="s">
        <v>15</v>
      </c>
      <c r="D9512" s="9">
        <v>59.47</v>
      </c>
      <c r="E9512" s="8">
        <v>67</v>
      </c>
    </row>
    <row r="9513" s="3" customFormat="1" ht="18.75" spans="1:5">
      <c r="A9513" s="8" t="str">
        <f t="shared" si="165"/>
        <v>250038</v>
      </c>
      <c r="B9513" s="8" t="str">
        <f>"2561409014627"</f>
        <v>2561409014627</v>
      </c>
      <c r="C9513" s="8" t="s">
        <v>15</v>
      </c>
      <c r="D9513" s="9">
        <v>59.44</v>
      </c>
      <c r="E9513" s="8">
        <v>68</v>
      </c>
    </row>
    <row r="9514" s="3" customFormat="1" ht="18.75" spans="1:5">
      <c r="A9514" s="8" t="str">
        <f t="shared" si="165"/>
        <v>250038</v>
      </c>
      <c r="B9514" s="8" t="str">
        <f>"2561409015320"</f>
        <v>2561409015320</v>
      </c>
      <c r="C9514" s="8" t="s">
        <v>15</v>
      </c>
      <c r="D9514" s="9">
        <v>59.38</v>
      </c>
      <c r="E9514" s="8">
        <v>69</v>
      </c>
    </row>
    <row r="9515" s="3" customFormat="1" ht="18.75" spans="1:5">
      <c r="A9515" s="8" t="str">
        <f t="shared" si="165"/>
        <v>250038</v>
      </c>
      <c r="B9515" s="8" t="str">
        <f>"2561409015307"</f>
        <v>2561409015307</v>
      </c>
      <c r="C9515" s="8" t="s">
        <v>15</v>
      </c>
      <c r="D9515" s="9">
        <v>58.84</v>
      </c>
      <c r="E9515" s="8">
        <v>70</v>
      </c>
    </row>
    <row r="9516" s="3" customFormat="1" ht="18.75" spans="1:5">
      <c r="A9516" s="8" t="str">
        <f t="shared" si="165"/>
        <v>250038</v>
      </c>
      <c r="B9516" s="8" t="str">
        <f>"2561409015405"</f>
        <v>2561409015405</v>
      </c>
      <c r="C9516" s="8" t="s">
        <v>15</v>
      </c>
      <c r="D9516" s="9">
        <v>58.83</v>
      </c>
      <c r="E9516" s="8">
        <v>71</v>
      </c>
    </row>
    <row r="9517" s="3" customFormat="1" ht="18.75" spans="1:5">
      <c r="A9517" s="8" t="str">
        <f t="shared" si="165"/>
        <v>250038</v>
      </c>
      <c r="B9517" s="8" t="str">
        <f>"2561409014315"</f>
        <v>2561409014315</v>
      </c>
      <c r="C9517" s="8" t="s">
        <v>15</v>
      </c>
      <c r="D9517" s="9">
        <v>58.81</v>
      </c>
      <c r="E9517" s="8">
        <v>72</v>
      </c>
    </row>
    <row r="9518" s="3" customFormat="1" ht="18.75" spans="1:5">
      <c r="A9518" s="8" t="str">
        <f t="shared" si="165"/>
        <v>250038</v>
      </c>
      <c r="B9518" s="8" t="str">
        <f>"2561409015007"</f>
        <v>2561409015007</v>
      </c>
      <c r="C9518" s="8" t="s">
        <v>15</v>
      </c>
      <c r="D9518" s="9">
        <v>58.76</v>
      </c>
      <c r="E9518" s="8">
        <v>73</v>
      </c>
    </row>
    <row r="9519" s="3" customFormat="1" ht="18.75" spans="1:5">
      <c r="A9519" s="8" t="str">
        <f t="shared" si="165"/>
        <v>250038</v>
      </c>
      <c r="B9519" s="8" t="str">
        <f>"2561409015029"</f>
        <v>2561409015029</v>
      </c>
      <c r="C9519" s="8" t="s">
        <v>15</v>
      </c>
      <c r="D9519" s="9">
        <v>58.75</v>
      </c>
      <c r="E9519" s="8">
        <v>74</v>
      </c>
    </row>
    <row r="9520" s="3" customFormat="1" ht="18.75" spans="1:5">
      <c r="A9520" s="8" t="str">
        <f t="shared" si="165"/>
        <v>250038</v>
      </c>
      <c r="B9520" s="8" t="str">
        <f>"2561409015323"</f>
        <v>2561409015323</v>
      </c>
      <c r="C9520" s="8" t="s">
        <v>15</v>
      </c>
      <c r="D9520" s="9">
        <v>58.69</v>
      </c>
      <c r="E9520" s="8">
        <v>75</v>
      </c>
    </row>
    <row r="9521" s="3" customFormat="1" ht="18.75" spans="1:5">
      <c r="A9521" s="8" t="str">
        <f t="shared" si="165"/>
        <v>250038</v>
      </c>
      <c r="B9521" s="8" t="str">
        <f>"2561409014916"</f>
        <v>2561409014916</v>
      </c>
      <c r="C9521" s="8" t="s">
        <v>15</v>
      </c>
      <c r="D9521" s="9">
        <v>58.67</v>
      </c>
      <c r="E9521" s="8">
        <v>76</v>
      </c>
    </row>
    <row r="9522" s="3" customFormat="1" ht="18.75" spans="1:5">
      <c r="A9522" s="8" t="str">
        <f t="shared" si="165"/>
        <v>250038</v>
      </c>
      <c r="B9522" s="8" t="str">
        <f>"2561409014514"</f>
        <v>2561409014514</v>
      </c>
      <c r="C9522" s="8" t="s">
        <v>15</v>
      </c>
      <c r="D9522" s="9">
        <v>58.61</v>
      </c>
      <c r="E9522" s="8">
        <v>77</v>
      </c>
    </row>
    <row r="9523" s="3" customFormat="1" ht="18.75" spans="1:5">
      <c r="A9523" s="8" t="str">
        <f t="shared" si="165"/>
        <v>250038</v>
      </c>
      <c r="B9523" s="8" t="str">
        <f>"2561409014615"</f>
        <v>2561409014615</v>
      </c>
      <c r="C9523" s="8" t="s">
        <v>15</v>
      </c>
      <c r="D9523" s="9">
        <v>58.61</v>
      </c>
      <c r="E9523" s="8">
        <v>77</v>
      </c>
    </row>
    <row r="9524" s="3" customFormat="1" ht="18.75" spans="1:5">
      <c r="A9524" s="8" t="str">
        <f t="shared" si="165"/>
        <v>250038</v>
      </c>
      <c r="B9524" s="8" t="str">
        <f>"2561409015122"</f>
        <v>2561409015122</v>
      </c>
      <c r="C9524" s="8" t="s">
        <v>15</v>
      </c>
      <c r="D9524" s="9">
        <v>58.61</v>
      </c>
      <c r="E9524" s="8">
        <v>77</v>
      </c>
    </row>
    <row r="9525" s="3" customFormat="1" ht="18.75" spans="1:5">
      <c r="A9525" s="8" t="str">
        <f t="shared" si="165"/>
        <v>250038</v>
      </c>
      <c r="B9525" s="8" t="str">
        <f>"2561409014523"</f>
        <v>2561409014523</v>
      </c>
      <c r="C9525" s="8" t="s">
        <v>15</v>
      </c>
      <c r="D9525" s="9">
        <v>58.45</v>
      </c>
      <c r="E9525" s="8">
        <v>80</v>
      </c>
    </row>
    <row r="9526" s="3" customFormat="1" ht="18.75" spans="1:5">
      <c r="A9526" s="8" t="str">
        <f t="shared" si="165"/>
        <v>250038</v>
      </c>
      <c r="B9526" s="8" t="str">
        <f>"2561409015129"</f>
        <v>2561409015129</v>
      </c>
      <c r="C9526" s="8" t="s">
        <v>15</v>
      </c>
      <c r="D9526" s="9">
        <v>58.45</v>
      </c>
      <c r="E9526" s="8">
        <v>80</v>
      </c>
    </row>
    <row r="9527" s="3" customFormat="1" ht="18.75" spans="1:5">
      <c r="A9527" s="8" t="str">
        <f t="shared" si="165"/>
        <v>250038</v>
      </c>
      <c r="B9527" s="8" t="str">
        <f>"2561409015009"</f>
        <v>2561409015009</v>
      </c>
      <c r="C9527" s="8" t="s">
        <v>15</v>
      </c>
      <c r="D9527" s="9">
        <v>58.4</v>
      </c>
      <c r="E9527" s="8">
        <v>82</v>
      </c>
    </row>
    <row r="9528" s="3" customFormat="1" ht="18.75" spans="1:5">
      <c r="A9528" s="8" t="str">
        <f t="shared" si="165"/>
        <v>250038</v>
      </c>
      <c r="B9528" s="8" t="str">
        <f>"2561409014915"</f>
        <v>2561409014915</v>
      </c>
      <c r="C9528" s="8" t="s">
        <v>15</v>
      </c>
      <c r="D9528" s="9">
        <v>58.26</v>
      </c>
      <c r="E9528" s="8">
        <v>83</v>
      </c>
    </row>
    <row r="9529" s="3" customFormat="1" ht="18.75" spans="1:5">
      <c r="A9529" s="8" t="str">
        <f t="shared" si="165"/>
        <v>250038</v>
      </c>
      <c r="B9529" s="8" t="str">
        <f>"2561409015309"</f>
        <v>2561409015309</v>
      </c>
      <c r="C9529" s="8" t="s">
        <v>15</v>
      </c>
      <c r="D9529" s="9">
        <v>58.02</v>
      </c>
      <c r="E9529" s="8">
        <v>84</v>
      </c>
    </row>
    <row r="9530" s="3" customFormat="1" ht="18.75" spans="1:5">
      <c r="A9530" s="8" t="str">
        <f t="shared" si="165"/>
        <v>250038</v>
      </c>
      <c r="B9530" s="8" t="str">
        <f>"2561409014308"</f>
        <v>2561409014308</v>
      </c>
      <c r="C9530" s="8" t="s">
        <v>15</v>
      </c>
      <c r="D9530" s="9">
        <v>57.91</v>
      </c>
      <c r="E9530" s="8">
        <v>85</v>
      </c>
    </row>
    <row r="9531" s="3" customFormat="1" ht="18.75" spans="1:5">
      <c r="A9531" s="8" t="str">
        <f t="shared" si="165"/>
        <v>250038</v>
      </c>
      <c r="B9531" s="8" t="str">
        <f>"2561409014413"</f>
        <v>2561409014413</v>
      </c>
      <c r="C9531" s="8" t="s">
        <v>15</v>
      </c>
      <c r="D9531" s="9">
        <v>57.91</v>
      </c>
      <c r="E9531" s="8">
        <v>85</v>
      </c>
    </row>
    <row r="9532" s="3" customFormat="1" ht="18.75" spans="1:5">
      <c r="A9532" s="8" t="str">
        <f t="shared" si="165"/>
        <v>250038</v>
      </c>
      <c r="B9532" s="8" t="str">
        <f>"2561409014530"</f>
        <v>2561409014530</v>
      </c>
      <c r="C9532" s="8" t="s">
        <v>15</v>
      </c>
      <c r="D9532" s="9">
        <v>57.91</v>
      </c>
      <c r="E9532" s="8">
        <v>85</v>
      </c>
    </row>
    <row r="9533" s="3" customFormat="1" ht="18.75" spans="1:5">
      <c r="A9533" s="8" t="str">
        <f t="shared" si="165"/>
        <v>250038</v>
      </c>
      <c r="B9533" s="8" t="str">
        <f>"2561409014715"</f>
        <v>2561409014715</v>
      </c>
      <c r="C9533" s="8" t="s">
        <v>15</v>
      </c>
      <c r="D9533" s="9">
        <v>57.88</v>
      </c>
      <c r="E9533" s="8">
        <v>88</v>
      </c>
    </row>
    <row r="9534" s="3" customFormat="1" ht="18.75" spans="1:5">
      <c r="A9534" s="8" t="str">
        <f t="shared" si="165"/>
        <v>250038</v>
      </c>
      <c r="B9534" s="8" t="str">
        <f>"2561409015219"</f>
        <v>2561409015219</v>
      </c>
      <c r="C9534" s="8" t="s">
        <v>15</v>
      </c>
      <c r="D9534" s="9">
        <v>57.87</v>
      </c>
      <c r="E9534" s="8">
        <v>89</v>
      </c>
    </row>
    <row r="9535" s="3" customFormat="1" ht="18.75" spans="1:5">
      <c r="A9535" s="8" t="str">
        <f t="shared" si="165"/>
        <v>250038</v>
      </c>
      <c r="B9535" s="8" t="str">
        <f>"2561409015123"</f>
        <v>2561409015123</v>
      </c>
      <c r="C9535" s="8" t="s">
        <v>15</v>
      </c>
      <c r="D9535" s="9">
        <v>57.72</v>
      </c>
      <c r="E9535" s="8">
        <v>90</v>
      </c>
    </row>
    <row r="9536" s="3" customFormat="1" ht="18.75" spans="1:5">
      <c r="A9536" s="8" t="str">
        <f t="shared" si="165"/>
        <v>250038</v>
      </c>
      <c r="B9536" s="8" t="str">
        <f>"2561409015318"</f>
        <v>2561409015318</v>
      </c>
      <c r="C9536" s="8" t="s">
        <v>15</v>
      </c>
      <c r="D9536" s="9">
        <v>57.67</v>
      </c>
      <c r="E9536" s="8">
        <v>91</v>
      </c>
    </row>
    <row r="9537" s="3" customFormat="1" ht="18.75" spans="1:5">
      <c r="A9537" s="8" t="str">
        <f t="shared" si="165"/>
        <v>250038</v>
      </c>
      <c r="B9537" s="8" t="str">
        <f>"2561409014820"</f>
        <v>2561409014820</v>
      </c>
      <c r="C9537" s="8" t="s">
        <v>15</v>
      </c>
      <c r="D9537" s="9">
        <v>57.66</v>
      </c>
      <c r="E9537" s="8">
        <v>92</v>
      </c>
    </row>
    <row r="9538" s="3" customFormat="1" ht="18.75" spans="1:5">
      <c r="A9538" s="8" t="str">
        <f t="shared" si="165"/>
        <v>250038</v>
      </c>
      <c r="B9538" s="8" t="str">
        <f>"2561409015216"</f>
        <v>2561409015216</v>
      </c>
      <c r="C9538" s="8" t="s">
        <v>15</v>
      </c>
      <c r="D9538" s="9">
        <v>57.57</v>
      </c>
      <c r="E9538" s="8">
        <v>93</v>
      </c>
    </row>
    <row r="9539" s="3" customFormat="1" ht="18.75" spans="1:5">
      <c r="A9539" s="8" t="str">
        <f t="shared" si="165"/>
        <v>250038</v>
      </c>
      <c r="B9539" s="8" t="str">
        <f>"2561409014423"</f>
        <v>2561409014423</v>
      </c>
      <c r="C9539" s="8" t="s">
        <v>15</v>
      </c>
      <c r="D9539" s="9">
        <v>57.53</v>
      </c>
      <c r="E9539" s="8">
        <v>94</v>
      </c>
    </row>
    <row r="9540" s="3" customFormat="1" ht="18.75" spans="1:5">
      <c r="A9540" s="8" t="str">
        <f t="shared" si="165"/>
        <v>250038</v>
      </c>
      <c r="B9540" s="8" t="str">
        <f>"2561409014923"</f>
        <v>2561409014923</v>
      </c>
      <c r="C9540" s="8" t="s">
        <v>15</v>
      </c>
      <c r="D9540" s="9">
        <v>57.51</v>
      </c>
      <c r="E9540" s="8">
        <v>95</v>
      </c>
    </row>
    <row r="9541" s="3" customFormat="1" ht="18.75" spans="1:5">
      <c r="A9541" s="8" t="str">
        <f t="shared" si="165"/>
        <v>250038</v>
      </c>
      <c r="B9541" s="8" t="str">
        <f>"2561409014421"</f>
        <v>2561409014421</v>
      </c>
      <c r="C9541" s="8" t="s">
        <v>15</v>
      </c>
      <c r="D9541" s="9">
        <v>57.49</v>
      </c>
      <c r="E9541" s="8">
        <v>96</v>
      </c>
    </row>
    <row r="9542" s="3" customFormat="1" ht="18.75" spans="1:5">
      <c r="A9542" s="8" t="str">
        <f t="shared" si="165"/>
        <v>250038</v>
      </c>
      <c r="B9542" s="8" t="str">
        <f>"2561409015416"</f>
        <v>2561409015416</v>
      </c>
      <c r="C9542" s="8" t="s">
        <v>15</v>
      </c>
      <c r="D9542" s="9">
        <v>57.4</v>
      </c>
      <c r="E9542" s="8">
        <v>97</v>
      </c>
    </row>
    <row r="9543" s="3" customFormat="1" ht="18.75" spans="1:5">
      <c r="A9543" s="8" t="str">
        <f t="shared" si="165"/>
        <v>250038</v>
      </c>
      <c r="B9543" s="8" t="str">
        <f>"2561409015411"</f>
        <v>2561409015411</v>
      </c>
      <c r="C9543" s="8" t="s">
        <v>15</v>
      </c>
      <c r="D9543" s="9">
        <v>57.38</v>
      </c>
      <c r="E9543" s="8">
        <v>98</v>
      </c>
    </row>
    <row r="9544" s="3" customFormat="1" ht="18.75" spans="1:5">
      <c r="A9544" s="8" t="str">
        <f t="shared" si="165"/>
        <v>250038</v>
      </c>
      <c r="B9544" s="8" t="str">
        <f>"2561409014919"</f>
        <v>2561409014919</v>
      </c>
      <c r="C9544" s="8" t="s">
        <v>15</v>
      </c>
      <c r="D9544" s="9">
        <v>57.29</v>
      </c>
      <c r="E9544" s="8">
        <v>99</v>
      </c>
    </row>
    <row r="9545" s="3" customFormat="1" ht="18.75" spans="1:5">
      <c r="A9545" s="8" t="str">
        <f t="shared" si="165"/>
        <v>250038</v>
      </c>
      <c r="B9545" s="8" t="str">
        <f>"2561409014117"</f>
        <v>2561409014117</v>
      </c>
      <c r="C9545" s="8" t="s">
        <v>15</v>
      </c>
      <c r="D9545" s="9">
        <v>57.26</v>
      </c>
      <c r="E9545" s="8">
        <v>100</v>
      </c>
    </row>
    <row r="9546" s="3" customFormat="1" ht="18.75" spans="1:5">
      <c r="A9546" s="8" t="str">
        <f t="shared" si="165"/>
        <v>250038</v>
      </c>
      <c r="B9546" s="8" t="str">
        <f>"2561409015120"</f>
        <v>2561409015120</v>
      </c>
      <c r="C9546" s="8" t="s">
        <v>15</v>
      </c>
      <c r="D9546" s="9">
        <v>57.21</v>
      </c>
      <c r="E9546" s="8">
        <v>101</v>
      </c>
    </row>
    <row r="9547" s="3" customFormat="1" ht="18.75" spans="1:5">
      <c r="A9547" s="8" t="str">
        <f t="shared" si="165"/>
        <v>250038</v>
      </c>
      <c r="B9547" s="8" t="str">
        <f>"2561409014829"</f>
        <v>2561409014829</v>
      </c>
      <c r="C9547" s="8" t="s">
        <v>15</v>
      </c>
      <c r="D9547" s="9">
        <v>57.14</v>
      </c>
      <c r="E9547" s="8">
        <v>102</v>
      </c>
    </row>
    <row r="9548" s="3" customFormat="1" ht="18.75" spans="1:5">
      <c r="A9548" s="8" t="str">
        <f t="shared" si="165"/>
        <v>250038</v>
      </c>
      <c r="B9548" s="8" t="str">
        <f>"2561409015322"</f>
        <v>2561409015322</v>
      </c>
      <c r="C9548" s="8" t="s">
        <v>15</v>
      </c>
      <c r="D9548" s="9">
        <v>57.13</v>
      </c>
      <c r="E9548" s="8">
        <v>103</v>
      </c>
    </row>
    <row r="9549" s="3" customFormat="1" ht="18.75" spans="1:5">
      <c r="A9549" s="8" t="str">
        <f t="shared" si="165"/>
        <v>250038</v>
      </c>
      <c r="B9549" s="8" t="str">
        <f>"2561409014810"</f>
        <v>2561409014810</v>
      </c>
      <c r="C9549" s="8" t="s">
        <v>15</v>
      </c>
      <c r="D9549" s="9">
        <v>57.12</v>
      </c>
      <c r="E9549" s="8">
        <v>104</v>
      </c>
    </row>
    <row r="9550" s="3" customFormat="1" ht="18.75" spans="1:5">
      <c r="A9550" s="8" t="str">
        <f t="shared" si="165"/>
        <v>250038</v>
      </c>
      <c r="B9550" s="8" t="str">
        <f>"2561409014625"</f>
        <v>2561409014625</v>
      </c>
      <c r="C9550" s="8" t="s">
        <v>15</v>
      </c>
      <c r="D9550" s="9">
        <v>56.97</v>
      </c>
      <c r="E9550" s="8">
        <v>105</v>
      </c>
    </row>
    <row r="9551" s="3" customFormat="1" ht="18.75" spans="1:5">
      <c r="A9551" s="8" t="str">
        <f t="shared" si="165"/>
        <v>250038</v>
      </c>
      <c r="B9551" s="8" t="str">
        <f>"2561409014330"</f>
        <v>2561409014330</v>
      </c>
      <c r="C9551" s="8" t="s">
        <v>15</v>
      </c>
      <c r="D9551" s="9">
        <v>56.93</v>
      </c>
      <c r="E9551" s="8">
        <v>106</v>
      </c>
    </row>
    <row r="9552" s="3" customFormat="1" ht="18.75" spans="1:5">
      <c r="A9552" s="8" t="str">
        <f t="shared" si="165"/>
        <v>250038</v>
      </c>
      <c r="B9552" s="8" t="str">
        <f>"2561409015003"</f>
        <v>2561409015003</v>
      </c>
      <c r="C9552" s="8" t="s">
        <v>15</v>
      </c>
      <c r="D9552" s="9">
        <v>56.82</v>
      </c>
      <c r="E9552" s="8">
        <v>107</v>
      </c>
    </row>
    <row r="9553" s="3" customFormat="1" ht="18.75" spans="1:5">
      <c r="A9553" s="8" t="str">
        <f t="shared" si="165"/>
        <v>250038</v>
      </c>
      <c r="B9553" s="8" t="str">
        <f>"2561409014205"</f>
        <v>2561409014205</v>
      </c>
      <c r="C9553" s="8" t="s">
        <v>15</v>
      </c>
      <c r="D9553" s="9">
        <v>56.8</v>
      </c>
      <c r="E9553" s="8">
        <v>108</v>
      </c>
    </row>
    <row r="9554" s="3" customFormat="1" ht="18.75" spans="1:5">
      <c r="A9554" s="8" t="str">
        <f t="shared" si="165"/>
        <v>250038</v>
      </c>
      <c r="B9554" s="8" t="str">
        <f>"2561409014323"</f>
        <v>2561409014323</v>
      </c>
      <c r="C9554" s="8" t="s">
        <v>15</v>
      </c>
      <c r="D9554" s="9">
        <v>56.77</v>
      </c>
      <c r="E9554" s="8">
        <v>109</v>
      </c>
    </row>
    <row r="9555" s="3" customFormat="1" ht="18.75" spans="1:5">
      <c r="A9555" s="8" t="str">
        <f t="shared" si="165"/>
        <v>250038</v>
      </c>
      <c r="B9555" s="8" t="str">
        <f>"2561409014309"</f>
        <v>2561409014309</v>
      </c>
      <c r="C9555" s="8" t="s">
        <v>15</v>
      </c>
      <c r="D9555" s="9">
        <v>56.75</v>
      </c>
      <c r="E9555" s="8">
        <v>110</v>
      </c>
    </row>
    <row r="9556" s="3" customFormat="1" ht="18.75" spans="1:5">
      <c r="A9556" s="8" t="str">
        <f t="shared" si="165"/>
        <v>250038</v>
      </c>
      <c r="B9556" s="8" t="str">
        <f>"2561409014425"</f>
        <v>2561409014425</v>
      </c>
      <c r="C9556" s="8" t="s">
        <v>15</v>
      </c>
      <c r="D9556" s="9">
        <v>56.68</v>
      </c>
      <c r="E9556" s="8">
        <v>111</v>
      </c>
    </row>
    <row r="9557" s="3" customFormat="1" ht="18.75" spans="1:5">
      <c r="A9557" s="8" t="str">
        <f t="shared" si="165"/>
        <v>250038</v>
      </c>
      <c r="B9557" s="8" t="str">
        <f>"2561409015304"</f>
        <v>2561409015304</v>
      </c>
      <c r="C9557" s="8" t="s">
        <v>15</v>
      </c>
      <c r="D9557" s="9">
        <v>56.63</v>
      </c>
      <c r="E9557" s="8">
        <v>112</v>
      </c>
    </row>
    <row r="9558" s="3" customFormat="1" ht="18.75" spans="1:5">
      <c r="A9558" s="8" t="str">
        <f t="shared" si="165"/>
        <v>250038</v>
      </c>
      <c r="B9558" s="8" t="str">
        <f>"2561409014620"</f>
        <v>2561409014620</v>
      </c>
      <c r="C9558" s="8" t="s">
        <v>15</v>
      </c>
      <c r="D9558" s="9">
        <v>56.48</v>
      </c>
      <c r="E9558" s="8">
        <v>113</v>
      </c>
    </row>
    <row r="9559" s="3" customFormat="1" ht="18.75" spans="1:5">
      <c r="A9559" s="8" t="str">
        <f t="shared" si="165"/>
        <v>250038</v>
      </c>
      <c r="B9559" s="8" t="str">
        <f>"2561409014322"</f>
        <v>2561409014322</v>
      </c>
      <c r="C9559" s="8" t="s">
        <v>15</v>
      </c>
      <c r="D9559" s="9">
        <v>56.45</v>
      </c>
      <c r="E9559" s="8">
        <v>114</v>
      </c>
    </row>
    <row r="9560" s="3" customFormat="1" ht="18.75" spans="1:5">
      <c r="A9560" s="8" t="str">
        <f t="shared" si="165"/>
        <v>250038</v>
      </c>
      <c r="B9560" s="8" t="str">
        <f>"2561409014628"</f>
        <v>2561409014628</v>
      </c>
      <c r="C9560" s="8" t="s">
        <v>15</v>
      </c>
      <c r="D9560" s="9">
        <v>56.2</v>
      </c>
      <c r="E9560" s="8">
        <v>115</v>
      </c>
    </row>
    <row r="9561" s="3" customFormat="1" ht="18.75" spans="1:5">
      <c r="A9561" s="8" t="str">
        <f t="shared" si="165"/>
        <v>250038</v>
      </c>
      <c r="B9561" s="8" t="str">
        <f>"2561409014410"</f>
        <v>2561409014410</v>
      </c>
      <c r="C9561" s="8" t="s">
        <v>15</v>
      </c>
      <c r="D9561" s="9">
        <v>56.15</v>
      </c>
      <c r="E9561" s="8">
        <v>116</v>
      </c>
    </row>
    <row r="9562" s="3" customFormat="1" ht="18.75" spans="1:5">
      <c r="A9562" s="8" t="str">
        <f t="shared" si="165"/>
        <v>250038</v>
      </c>
      <c r="B9562" s="8" t="str">
        <f>"2561409014904"</f>
        <v>2561409014904</v>
      </c>
      <c r="C9562" s="8" t="s">
        <v>15</v>
      </c>
      <c r="D9562" s="9">
        <v>56.14</v>
      </c>
      <c r="E9562" s="8">
        <v>117</v>
      </c>
    </row>
    <row r="9563" s="3" customFormat="1" ht="18.75" spans="1:5">
      <c r="A9563" s="8" t="str">
        <f t="shared" si="165"/>
        <v>250038</v>
      </c>
      <c r="B9563" s="8" t="str">
        <f>"2561409015113"</f>
        <v>2561409015113</v>
      </c>
      <c r="C9563" s="8" t="s">
        <v>15</v>
      </c>
      <c r="D9563" s="9">
        <v>56.13</v>
      </c>
      <c r="E9563" s="8">
        <v>118</v>
      </c>
    </row>
    <row r="9564" s="3" customFormat="1" ht="18.75" spans="1:5">
      <c r="A9564" s="8" t="str">
        <f t="shared" si="165"/>
        <v>250038</v>
      </c>
      <c r="B9564" s="8" t="str">
        <f>"2561409014819"</f>
        <v>2561409014819</v>
      </c>
      <c r="C9564" s="8" t="s">
        <v>15</v>
      </c>
      <c r="D9564" s="9">
        <v>56.12</v>
      </c>
      <c r="E9564" s="8">
        <v>119</v>
      </c>
    </row>
    <row r="9565" s="3" customFormat="1" ht="18.75" spans="1:5">
      <c r="A9565" s="8" t="str">
        <f t="shared" si="165"/>
        <v>250038</v>
      </c>
      <c r="B9565" s="8" t="str">
        <f>"2561409014824"</f>
        <v>2561409014824</v>
      </c>
      <c r="C9565" s="8" t="s">
        <v>15</v>
      </c>
      <c r="D9565" s="9">
        <v>56.11</v>
      </c>
      <c r="E9565" s="8">
        <v>120</v>
      </c>
    </row>
    <row r="9566" s="3" customFormat="1" ht="18.75" spans="1:5">
      <c r="A9566" s="8" t="str">
        <f t="shared" si="165"/>
        <v>250038</v>
      </c>
      <c r="B9566" s="8" t="str">
        <f>"2561409014415"</f>
        <v>2561409014415</v>
      </c>
      <c r="C9566" s="8" t="s">
        <v>15</v>
      </c>
      <c r="D9566" s="9">
        <v>56.06</v>
      </c>
      <c r="E9566" s="8">
        <v>121</v>
      </c>
    </row>
    <row r="9567" s="3" customFormat="1" ht="18.75" spans="1:5">
      <c r="A9567" s="8" t="str">
        <f t="shared" si="165"/>
        <v>250038</v>
      </c>
      <c r="B9567" s="8" t="str">
        <f>"2561409015412"</f>
        <v>2561409015412</v>
      </c>
      <c r="C9567" s="8" t="s">
        <v>15</v>
      </c>
      <c r="D9567" s="9">
        <v>55.96</v>
      </c>
      <c r="E9567" s="8">
        <v>122</v>
      </c>
    </row>
    <row r="9568" s="3" customFormat="1" ht="18.75" spans="1:5">
      <c r="A9568" s="8" t="str">
        <f t="shared" si="165"/>
        <v>250038</v>
      </c>
      <c r="B9568" s="8" t="str">
        <f>"2561409015425"</f>
        <v>2561409015425</v>
      </c>
      <c r="C9568" s="8" t="s">
        <v>15</v>
      </c>
      <c r="D9568" s="9">
        <v>55.84</v>
      </c>
      <c r="E9568" s="8">
        <v>123</v>
      </c>
    </row>
    <row r="9569" s="3" customFormat="1" ht="18.75" spans="1:5">
      <c r="A9569" s="8" t="str">
        <f t="shared" si="165"/>
        <v>250038</v>
      </c>
      <c r="B9569" s="8" t="str">
        <f>"2561409014814"</f>
        <v>2561409014814</v>
      </c>
      <c r="C9569" s="8" t="s">
        <v>15</v>
      </c>
      <c r="D9569" s="9">
        <v>55.83</v>
      </c>
      <c r="E9569" s="8">
        <v>124</v>
      </c>
    </row>
    <row r="9570" s="3" customFormat="1" ht="18.75" spans="1:5">
      <c r="A9570" s="8" t="str">
        <f t="shared" si="165"/>
        <v>250038</v>
      </c>
      <c r="B9570" s="8" t="str">
        <f>"2561409014120"</f>
        <v>2561409014120</v>
      </c>
      <c r="C9570" s="8" t="s">
        <v>15</v>
      </c>
      <c r="D9570" s="9">
        <v>55.8</v>
      </c>
      <c r="E9570" s="8">
        <v>125</v>
      </c>
    </row>
    <row r="9571" s="3" customFormat="1" ht="18.75" spans="1:5">
      <c r="A9571" s="8" t="str">
        <f t="shared" si="165"/>
        <v>250038</v>
      </c>
      <c r="B9571" s="8" t="str">
        <f>"2561409014621"</f>
        <v>2561409014621</v>
      </c>
      <c r="C9571" s="8" t="s">
        <v>15</v>
      </c>
      <c r="D9571" s="9">
        <v>55.76</v>
      </c>
      <c r="E9571" s="8">
        <v>126</v>
      </c>
    </row>
    <row r="9572" s="3" customFormat="1" ht="18.75" spans="1:5">
      <c r="A9572" s="8" t="str">
        <f t="shared" si="165"/>
        <v>250038</v>
      </c>
      <c r="B9572" s="8" t="str">
        <f>"2561409014130"</f>
        <v>2561409014130</v>
      </c>
      <c r="C9572" s="8" t="s">
        <v>15</v>
      </c>
      <c r="D9572" s="9">
        <v>55.66</v>
      </c>
      <c r="E9572" s="8">
        <v>127</v>
      </c>
    </row>
    <row r="9573" s="3" customFormat="1" ht="18.75" spans="1:5">
      <c r="A9573" s="8" t="str">
        <f t="shared" si="165"/>
        <v>250038</v>
      </c>
      <c r="B9573" s="8" t="str">
        <f>"2561409014606"</f>
        <v>2561409014606</v>
      </c>
      <c r="C9573" s="8" t="s">
        <v>15</v>
      </c>
      <c r="D9573" s="9">
        <v>55.33</v>
      </c>
      <c r="E9573" s="8">
        <v>128</v>
      </c>
    </row>
    <row r="9574" s="3" customFormat="1" ht="18.75" spans="1:5">
      <c r="A9574" s="8" t="str">
        <f t="shared" ref="A9574:A9637" si="166">"250038"</f>
        <v>250038</v>
      </c>
      <c r="B9574" s="8" t="str">
        <f>"2561409015402"</f>
        <v>2561409015402</v>
      </c>
      <c r="C9574" s="8" t="s">
        <v>15</v>
      </c>
      <c r="D9574" s="9">
        <v>55.16</v>
      </c>
      <c r="E9574" s="8">
        <v>129</v>
      </c>
    </row>
    <row r="9575" s="3" customFormat="1" ht="18.75" spans="1:5">
      <c r="A9575" s="8" t="str">
        <f t="shared" si="166"/>
        <v>250038</v>
      </c>
      <c r="B9575" s="8" t="str">
        <f>"2561409014414"</f>
        <v>2561409014414</v>
      </c>
      <c r="C9575" s="8" t="s">
        <v>15</v>
      </c>
      <c r="D9575" s="9">
        <v>55.14</v>
      </c>
      <c r="E9575" s="8">
        <v>130</v>
      </c>
    </row>
    <row r="9576" s="3" customFormat="1" ht="18.75" spans="1:5">
      <c r="A9576" s="8" t="str">
        <f t="shared" si="166"/>
        <v>250038</v>
      </c>
      <c r="B9576" s="8" t="str">
        <f>"2561409014612"</f>
        <v>2561409014612</v>
      </c>
      <c r="C9576" s="8" t="s">
        <v>15</v>
      </c>
      <c r="D9576" s="9">
        <v>55.02</v>
      </c>
      <c r="E9576" s="8">
        <v>131</v>
      </c>
    </row>
    <row r="9577" s="3" customFormat="1" ht="18.75" spans="1:5">
      <c r="A9577" s="8" t="str">
        <f t="shared" si="166"/>
        <v>250038</v>
      </c>
      <c r="B9577" s="8" t="str">
        <f>"2561409015130"</f>
        <v>2561409015130</v>
      </c>
      <c r="C9577" s="8" t="s">
        <v>15</v>
      </c>
      <c r="D9577" s="9">
        <v>54.9</v>
      </c>
      <c r="E9577" s="8">
        <v>132</v>
      </c>
    </row>
    <row r="9578" s="3" customFormat="1" ht="18.75" spans="1:5">
      <c r="A9578" s="8" t="str">
        <f t="shared" si="166"/>
        <v>250038</v>
      </c>
      <c r="B9578" s="8" t="str">
        <f>"2561409014306"</f>
        <v>2561409014306</v>
      </c>
      <c r="C9578" s="8" t="s">
        <v>15</v>
      </c>
      <c r="D9578" s="9">
        <v>54.89</v>
      </c>
      <c r="E9578" s="8">
        <v>133</v>
      </c>
    </row>
    <row r="9579" s="3" customFormat="1" ht="18.75" spans="1:5">
      <c r="A9579" s="8" t="str">
        <f t="shared" si="166"/>
        <v>250038</v>
      </c>
      <c r="B9579" s="8" t="str">
        <f>"2561409014907"</f>
        <v>2561409014907</v>
      </c>
      <c r="C9579" s="8" t="s">
        <v>15</v>
      </c>
      <c r="D9579" s="9">
        <v>54.84</v>
      </c>
      <c r="E9579" s="8">
        <v>134</v>
      </c>
    </row>
    <row r="9580" s="3" customFormat="1" ht="18.75" spans="1:5">
      <c r="A9580" s="8" t="str">
        <f t="shared" si="166"/>
        <v>250038</v>
      </c>
      <c r="B9580" s="8" t="str">
        <f>"2561409014418"</f>
        <v>2561409014418</v>
      </c>
      <c r="C9580" s="8" t="s">
        <v>15</v>
      </c>
      <c r="D9580" s="9">
        <v>54.69</v>
      </c>
      <c r="E9580" s="8">
        <v>135</v>
      </c>
    </row>
    <row r="9581" s="3" customFormat="1" ht="18.75" spans="1:5">
      <c r="A9581" s="8" t="str">
        <f t="shared" si="166"/>
        <v>250038</v>
      </c>
      <c r="B9581" s="8" t="str">
        <f>"2561409014721"</f>
        <v>2561409014721</v>
      </c>
      <c r="C9581" s="8" t="s">
        <v>15</v>
      </c>
      <c r="D9581" s="9">
        <v>54.62</v>
      </c>
      <c r="E9581" s="8">
        <v>136</v>
      </c>
    </row>
    <row r="9582" s="3" customFormat="1" ht="18.75" spans="1:5">
      <c r="A9582" s="8" t="str">
        <f t="shared" si="166"/>
        <v>250038</v>
      </c>
      <c r="B9582" s="8" t="str">
        <f>"2561409015404"</f>
        <v>2561409015404</v>
      </c>
      <c r="C9582" s="8" t="s">
        <v>15</v>
      </c>
      <c r="D9582" s="9">
        <v>54.55</v>
      </c>
      <c r="E9582" s="8">
        <v>137</v>
      </c>
    </row>
    <row r="9583" s="3" customFormat="1" ht="18.75" spans="1:5">
      <c r="A9583" s="8" t="str">
        <f t="shared" si="166"/>
        <v>250038</v>
      </c>
      <c r="B9583" s="8" t="str">
        <f>"2561409014307"</f>
        <v>2561409014307</v>
      </c>
      <c r="C9583" s="8" t="s">
        <v>15</v>
      </c>
      <c r="D9583" s="9">
        <v>54.53</v>
      </c>
      <c r="E9583" s="8">
        <v>138</v>
      </c>
    </row>
    <row r="9584" s="3" customFormat="1" ht="18.75" spans="1:5">
      <c r="A9584" s="8" t="str">
        <f t="shared" si="166"/>
        <v>250038</v>
      </c>
      <c r="B9584" s="8" t="str">
        <f>"2561409015421"</f>
        <v>2561409015421</v>
      </c>
      <c r="C9584" s="8" t="s">
        <v>15</v>
      </c>
      <c r="D9584" s="9">
        <v>54.3</v>
      </c>
      <c r="E9584" s="8">
        <v>139</v>
      </c>
    </row>
    <row r="9585" s="3" customFormat="1" ht="18.75" spans="1:5">
      <c r="A9585" s="8" t="str">
        <f t="shared" si="166"/>
        <v>250038</v>
      </c>
      <c r="B9585" s="8" t="str">
        <f>"2561409014707"</f>
        <v>2561409014707</v>
      </c>
      <c r="C9585" s="8" t="s">
        <v>15</v>
      </c>
      <c r="D9585" s="9">
        <v>54.29</v>
      </c>
      <c r="E9585" s="8">
        <v>140</v>
      </c>
    </row>
    <row r="9586" s="3" customFormat="1" ht="18.75" spans="1:5">
      <c r="A9586" s="8" t="str">
        <f t="shared" si="166"/>
        <v>250038</v>
      </c>
      <c r="B9586" s="8" t="str">
        <f>"2561409014827"</f>
        <v>2561409014827</v>
      </c>
      <c r="C9586" s="8" t="s">
        <v>15</v>
      </c>
      <c r="D9586" s="9">
        <v>54.21</v>
      </c>
      <c r="E9586" s="8">
        <v>141</v>
      </c>
    </row>
    <row r="9587" s="3" customFormat="1" ht="18.75" spans="1:5">
      <c r="A9587" s="8" t="str">
        <f t="shared" si="166"/>
        <v>250038</v>
      </c>
      <c r="B9587" s="8" t="str">
        <f>"2561409014603"</f>
        <v>2561409014603</v>
      </c>
      <c r="C9587" s="8" t="s">
        <v>15</v>
      </c>
      <c r="D9587" s="9">
        <v>53.89</v>
      </c>
      <c r="E9587" s="8">
        <v>142</v>
      </c>
    </row>
    <row r="9588" s="3" customFormat="1" ht="18.75" spans="1:5">
      <c r="A9588" s="8" t="str">
        <f t="shared" si="166"/>
        <v>250038</v>
      </c>
      <c r="B9588" s="8" t="str">
        <f>"2561409014207"</f>
        <v>2561409014207</v>
      </c>
      <c r="C9588" s="8" t="s">
        <v>15</v>
      </c>
      <c r="D9588" s="9">
        <v>53.87</v>
      </c>
      <c r="E9588" s="8">
        <v>143</v>
      </c>
    </row>
    <row r="9589" s="3" customFormat="1" ht="18.75" spans="1:5">
      <c r="A9589" s="8" t="str">
        <f t="shared" si="166"/>
        <v>250038</v>
      </c>
      <c r="B9589" s="8" t="str">
        <f>"2561409014623"</f>
        <v>2561409014623</v>
      </c>
      <c r="C9589" s="8" t="s">
        <v>15</v>
      </c>
      <c r="D9589" s="9">
        <v>53.87</v>
      </c>
      <c r="E9589" s="8">
        <v>143</v>
      </c>
    </row>
    <row r="9590" s="3" customFormat="1" ht="18.75" spans="1:5">
      <c r="A9590" s="8" t="str">
        <f t="shared" si="166"/>
        <v>250038</v>
      </c>
      <c r="B9590" s="8" t="str">
        <f>"2561409014505"</f>
        <v>2561409014505</v>
      </c>
      <c r="C9590" s="8" t="s">
        <v>15</v>
      </c>
      <c r="D9590" s="9">
        <v>53.81</v>
      </c>
      <c r="E9590" s="8">
        <v>145</v>
      </c>
    </row>
    <row r="9591" s="3" customFormat="1" ht="18.75" spans="1:5">
      <c r="A9591" s="8" t="str">
        <f t="shared" si="166"/>
        <v>250038</v>
      </c>
      <c r="B9591" s="8" t="str">
        <f>"2561409015101"</f>
        <v>2561409015101</v>
      </c>
      <c r="C9591" s="8" t="s">
        <v>15</v>
      </c>
      <c r="D9591" s="9">
        <v>53.69</v>
      </c>
      <c r="E9591" s="8">
        <v>146</v>
      </c>
    </row>
    <row r="9592" s="3" customFormat="1" ht="18.75" spans="1:5">
      <c r="A9592" s="8" t="str">
        <f t="shared" si="166"/>
        <v>250038</v>
      </c>
      <c r="B9592" s="8" t="str">
        <f>"2561409014230"</f>
        <v>2561409014230</v>
      </c>
      <c r="C9592" s="8" t="s">
        <v>15</v>
      </c>
      <c r="D9592" s="9">
        <v>53.65</v>
      </c>
      <c r="E9592" s="8">
        <v>147</v>
      </c>
    </row>
    <row r="9593" s="3" customFormat="1" ht="18.75" spans="1:5">
      <c r="A9593" s="8" t="str">
        <f t="shared" si="166"/>
        <v>250038</v>
      </c>
      <c r="B9593" s="8" t="str">
        <f>"2561409014918"</f>
        <v>2561409014918</v>
      </c>
      <c r="C9593" s="8" t="s">
        <v>15</v>
      </c>
      <c r="D9593" s="9">
        <v>53.58</v>
      </c>
      <c r="E9593" s="8">
        <v>148</v>
      </c>
    </row>
    <row r="9594" s="3" customFormat="1" ht="18.75" spans="1:5">
      <c r="A9594" s="8" t="str">
        <f t="shared" si="166"/>
        <v>250038</v>
      </c>
      <c r="B9594" s="8" t="str">
        <f>"2561409014406"</f>
        <v>2561409014406</v>
      </c>
      <c r="C9594" s="8" t="s">
        <v>15</v>
      </c>
      <c r="D9594" s="9">
        <v>53.53</v>
      </c>
      <c r="E9594" s="8">
        <v>149</v>
      </c>
    </row>
    <row r="9595" s="3" customFormat="1" ht="18.75" spans="1:5">
      <c r="A9595" s="8" t="str">
        <f t="shared" si="166"/>
        <v>250038</v>
      </c>
      <c r="B9595" s="8" t="str">
        <f>"2561409015026"</f>
        <v>2561409015026</v>
      </c>
      <c r="C9595" s="8" t="s">
        <v>15</v>
      </c>
      <c r="D9595" s="9">
        <v>53.51</v>
      </c>
      <c r="E9595" s="8">
        <v>150</v>
      </c>
    </row>
    <row r="9596" s="3" customFormat="1" ht="18.75" spans="1:5">
      <c r="A9596" s="8" t="str">
        <f t="shared" si="166"/>
        <v>250038</v>
      </c>
      <c r="B9596" s="8" t="str">
        <f>"2561409015202"</f>
        <v>2561409015202</v>
      </c>
      <c r="C9596" s="8" t="s">
        <v>15</v>
      </c>
      <c r="D9596" s="9">
        <v>53.39</v>
      </c>
      <c r="E9596" s="8">
        <v>151</v>
      </c>
    </row>
    <row r="9597" s="3" customFormat="1" ht="18.75" spans="1:5">
      <c r="A9597" s="8" t="str">
        <f t="shared" si="166"/>
        <v>250038</v>
      </c>
      <c r="B9597" s="8" t="str">
        <f>"2561409015102"</f>
        <v>2561409015102</v>
      </c>
      <c r="C9597" s="8" t="s">
        <v>15</v>
      </c>
      <c r="D9597" s="9">
        <v>53.14</v>
      </c>
      <c r="E9597" s="8">
        <v>152</v>
      </c>
    </row>
    <row r="9598" s="3" customFormat="1" ht="18.75" spans="1:5">
      <c r="A9598" s="8" t="str">
        <f t="shared" si="166"/>
        <v>250038</v>
      </c>
      <c r="B9598" s="8" t="str">
        <f>"2561409014202"</f>
        <v>2561409014202</v>
      </c>
      <c r="C9598" s="8" t="s">
        <v>15</v>
      </c>
      <c r="D9598" s="9">
        <v>53.13</v>
      </c>
      <c r="E9598" s="8">
        <v>153</v>
      </c>
    </row>
    <row r="9599" s="3" customFormat="1" ht="18.75" spans="1:5">
      <c r="A9599" s="8" t="str">
        <f t="shared" si="166"/>
        <v>250038</v>
      </c>
      <c r="B9599" s="8" t="str">
        <f>"2561409015116"</f>
        <v>2561409015116</v>
      </c>
      <c r="C9599" s="8" t="s">
        <v>15</v>
      </c>
      <c r="D9599" s="9">
        <v>53.1</v>
      </c>
      <c r="E9599" s="8">
        <v>154</v>
      </c>
    </row>
    <row r="9600" s="3" customFormat="1" ht="18.75" spans="1:5">
      <c r="A9600" s="8" t="str">
        <f t="shared" si="166"/>
        <v>250038</v>
      </c>
      <c r="B9600" s="8" t="str">
        <f>"2561409015227"</f>
        <v>2561409015227</v>
      </c>
      <c r="C9600" s="8" t="s">
        <v>15</v>
      </c>
      <c r="D9600" s="9">
        <v>53.05</v>
      </c>
      <c r="E9600" s="8">
        <v>155</v>
      </c>
    </row>
    <row r="9601" s="3" customFormat="1" ht="18.75" spans="1:5">
      <c r="A9601" s="8" t="str">
        <f t="shared" si="166"/>
        <v>250038</v>
      </c>
      <c r="B9601" s="8" t="str">
        <f>"2561409014504"</f>
        <v>2561409014504</v>
      </c>
      <c r="C9601" s="8" t="s">
        <v>15</v>
      </c>
      <c r="D9601" s="9">
        <v>53</v>
      </c>
      <c r="E9601" s="8">
        <v>156</v>
      </c>
    </row>
    <row r="9602" s="3" customFormat="1" ht="18.75" spans="1:5">
      <c r="A9602" s="8" t="str">
        <f t="shared" si="166"/>
        <v>250038</v>
      </c>
      <c r="B9602" s="8" t="str">
        <f>"2561409015329"</f>
        <v>2561409015329</v>
      </c>
      <c r="C9602" s="8" t="s">
        <v>15</v>
      </c>
      <c r="D9602" s="9">
        <v>53</v>
      </c>
      <c r="E9602" s="8">
        <v>156</v>
      </c>
    </row>
    <row r="9603" s="3" customFormat="1" ht="18.75" spans="1:5">
      <c r="A9603" s="8" t="str">
        <f t="shared" si="166"/>
        <v>250038</v>
      </c>
      <c r="B9603" s="8" t="str">
        <f>"2561409014825"</f>
        <v>2561409014825</v>
      </c>
      <c r="C9603" s="8" t="s">
        <v>15</v>
      </c>
      <c r="D9603" s="9">
        <v>52.91</v>
      </c>
      <c r="E9603" s="8">
        <v>158</v>
      </c>
    </row>
    <row r="9604" s="3" customFormat="1" ht="18.75" spans="1:5">
      <c r="A9604" s="8" t="str">
        <f t="shared" si="166"/>
        <v>250038</v>
      </c>
      <c r="B9604" s="8" t="str">
        <f>"2561409015228"</f>
        <v>2561409015228</v>
      </c>
      <c r="C9604" s="8" t="s">
        <v>15</v>
      </c>
      <c r="D9604" s="9">
        <v>52.91</v>
      </c>
      <c r="E9604" s="8">
        <v>158</v>
      </c>
    </row>
    <row r="9605" s="3" customFormat="1" ht="18.75" spans="1:5">
      <c r="A9605" s="8" t="str">
        <f t="shared" si="166"/>
        <v>250038</v>
      </c>
      <c r="B9605" s="8" t="str">
        <f>"2561409014808"</f>
        <v>2561409014808</v>
      </c>
      <c r="C9605" s="8" t="s">
        <v>15</v>
      </c>
      <c r="D9605" s="9">
        <v>52.87</v>
      </c>
      <c r="E9605" s="8">
        <v>160</v>
      </c>
    </row>
    <row r="9606" s="3" customFormat="1" ht="18.75" spans="1:5">
      <c r="A9606" s="8" t="str">
        <f t="shared" si="166"/>
        <v>250038</v>
      </c>
      <c r="B9606" s="8" t="str">
        <f>"2561409015317"</f>
        <v>2561409015317</v>
      </c>
      <c r="C9606" s="8" t="s">
        <v>15</v>
      </c>
      <c r="D9606" s="9">
        <v>52.75</v>
      </c>
      <c r="E9606" s="8">
        <v>161</v>
      </c>
    </row>
    <row r="9607" s="3" customFormat="1" ht="18.75" spans="1:5">
      <c r="A9607" s="8" t="str">
        <f t="shared" si="166"/>
        <v>250038</v>
      </c>
      <c r="B9607" s="8" t="str">
        <f>"2561409015021"</f>
        <v>2561409015021</v>
      </c>
      <c r="C9607" s="8" t="s">
        <v>15</v>
      </c>
      <c r="D9607" s="9">
        <v>52.73</v>
      </c>
      <c r="E9607" s="8">
        <v>162</v>
      </c>
    </row>
    <row r="9608" s="3" customFormat="1" ht="18.75" spans="1:5">
      <c r="A9608" s="8" t="str">
        <f t="shared" si="166"/>
        <v>250038</v>
      </c>
      <c r="B9608" s="8" t="str">
        <f>"2561409014314"</f>
        <v>2561409014314</v>
      </c>
      <c r="C9608" s="8" t="s">
        <v>15</v>
      </c>
      <c r="D9608" s="9">
        <v>52.69</v>
      </c>
      <c r="E9608" s="8">
        <v>163</v>
      </c>
    </row>
    <row r="9609" s="3" customFormat="1" ht="18.75" spans="1:5">
      <c r="A9609" s="8" t="str">
        <f t="shared" si="166"/>
        <v>250038</v>
      </c>
      <c r="B9609" s="8" t="str">
        <f>"2561409014913"</f>
        <v>2561409014913</v>
      </c>
      <c r="C9609" s="8" t="s">
        <v>15</v>
      </c>
      <c r="D9609" s="9">
        <v>52.62</v>
      </c>
      <c r="E9609" s="8">
        <v>164</v>
      </c>
    </row>
    <row r="9610" s="3" customFormat="1" ht="18.75" spans="1:5">
      <c r="A9610" s="8" t="str">
        <f t="shared" si="166"/>
        <v>250038</v>
      </c>
      <c r="B9610" s="8" t="str">
        <f>"2561409014225"</f>
        <v>2561409014225</v>
      </c>
      <c r="C9610" s="8" t="s">
        <v>15</v>
      </c>
      <c r="D9610" s="9">
        <v>52.54</v>
      </c>
      <c r="E9610" s="8">
        <v>165</v>
      </c>
    </row>
    <row r="9611" s="3" customFormat="1" ht="18.75" spans="1:5">
      <c r="A9611" s="8" t="str">
        <f t="shared" si="166"/>
        <v>250038</v>
      </c>
      <c r="B9611" s="8" t="str">
        <f>"2561409014509"</f>
        <v>2561409014509</v>
      </c>
      <c r="C9611" s="8" t="s">
        <v>15</v>
      </c>
      <c r="D9611" s="9">
        <v>52.47</v>
      </c>
      <c r="E9611" s="8">
        <v>166</v>
      </c>
    </row>
    <row r="9612" s="3" customFormat="1" ht="18.75" spans="1:5">
      <c r="A9612" s="8" t="str">
        <f t="shared" si="166"/>
        <v>250038</v>
      </c>
      <c r="B9612" s="8" t="str">
        <f>"2561409014506"</f>
        <v>2561409014506</v>
      </c>
      <c r="C9612" s="8" t="s">
        <v>15</v>
      </c>
      <c r="D9612" s="9">
        <v>52.46</v>
      </c>
      <c r="E9612" s="8">
        <v>167</v>
      </c>
    </row>
    <row r="9613" s="3" customFormat="1" ht="18.75" spans="1:5">
      <c r="A9613" s="8" t="str">
        <f t="shared" si="166"/>
        <v>250038</v>
      </c>
      <c r="B9613" s="8" t="str">
        <f>"2561409015025"</f>
        <v>2561409015025</v>
      </c>
      <c r="C9613" s="8" t="s">
        <v>15</v>
      </c>
      <c r="D9613" s="9">
        <v>52.38</v>
      </c>
      <c r="E9613" s="8">
        <v>168</v>
      </c>
    </row>
    <row r="9614" s="3" customFormat="1" ht="18.75" spans="1:5">
      <c r="A9614" s="8" t="str">
        <f t="shared" si="166"/>
        <v>250038</v>
      </c>
      <c r="B9614" s="8" t="str">
        <f>"2561409015127"</f>
        <v>2561409015127</v>
      </c>
      <c r="C9614" s="8" t="s">
        <v>15</v>
      </c>
      <c r="D9614" s="9">
        <v>52.22</v>
      </c>
      <c r="E9614" s="8">
        <v>169</v>
      </c>
    </row>
    <row r="9615" s="3" customFormat="1" ht="18.75" spans="1:5">
      <c r="A9615" s="8" t="str">
        <f t="shared" si="166"/>
        <v>250038</v>
      </c>
      <c r="B9615" s="8" t="str">
        <f>"2561409014710"</f>
        <v>2561409014710</v>
      </c>
      <c r="C9615" s="8" t="s">
        <v>15</v>
      </c>
      <c r="D9615" s="9">
        <v>52.16</v>
      </c>
      <c r="E9615" s="8">
        <v>170</v>
      </c>
    </row>
    <row r="9616" s="3" customFormat="1" ht="18.75" spans="1:5">
      <c r="A9616" s="8" t="str">
        <f t="shared" si="166"/>
        <v>250038</v>
      </c>
      <c r="B9616" s="8" t="str">
        <f>"2561409014510"</f>
        <v>2561409014510</v>
      </c>
      <c r="C9616" s="8" t="s">
        <v>15</v>
      </c>
      <c r="D9616" s="9">
        <v>51.99</v>
      </c>
      <c r="E9616" s="8">
        <v>171</v>
      </c>
    </row>
    <row r="9617" s="3" customFormat="1" ht="18.75" spans="1:5">
      <c r="A9617" s="8" t="str">
        <f t="shared" si="166"/>
        <v>250038</v>
      </c>
      <c r="B9617" s="8" t="str">
        <f>"2561409014613"</f>
        <v>2561409014613</v>
      </c>
      <c r="C9617" s="8" t="s">
        <v>15</v>
      </c>
      <c r="D9617" s="9">
        <v>51.84</v>
      </c>
      <c r="E9617" s="8">
        <v>172</v>
      </c>
    </row>
    <row r="9618" s="3" customFormat="1" ht="18.75" spans="1:5">
      <c r="A9618" s="8" t="str">
        <f t="shared" si="166"/>
        <v>250038</v>
      </c>
      <c r="B9618" s="8" t="str">
        <f>"2561409014516"</f>
        <v>2561409014516</v>
      </c>
      <c r="C9618" s="8" t="s">
        <v>15</v>
      </c>
      <c r="D9618" s="9">
        <v>51.77</v>
      </c>
      <c r="E9618" s="8">
        <v>173</v>
      </c>
    </row>
    <row r="9619" s="3" customFormat="1" ht="18.75" spans="1:5">
      <c r="A9619" s="8" t="str">
        <f t="shared" si="166"/>
        <v>250038</v>
      </c>
      <c r="B9619" s="8" t="str">
        <f>"2561409014924"</f>
        <v>2561409014924</v>
      </c>
      <c r="C9619" s="8" t="s">
        <v>15</v>
      </c>
      <c r="D9619" s="9">
        <v>51.71</v>
      </c>
      <c r="E9619" s="8">
        <v>174</v>
      </c>
    </row>
    <row r="9620" s="3" customFormat="1" ht="18.75" spans="1:5">
      <c r="A9620" s="8" t="str">
        <f t="shared" si="166"/>
        <v>250038</v>
      </c>
      <c r="B9620" s="8" t="str">
        <f>"2561409014928"</f>
        <v>2561409014928</v>
      </c>
      <c r="C9620" s="8" t="s">
        <v>15</v>
      </c>
      <c r="D9620" s="9">
        <v>51.65</v>
      </c>
      <c r="E9620" s="8">
        <v>175</v>
      </c>
    </row>
    <row r="9621" s="3" customFormat="1" ht="18.75" spans="1:5">
      <c r="A9621" s="8" t="str">
        <f t="shared" si="166"/>
        <v>250038</v>
      </c>
      <c r="B9621" s="8" t="str">
        <f>"2561409014903"</f>
        <v>2561409014903</v>
      </c>
      <c r="C9621" s="8" t="s">
        <v>15</v>
      </c>
      <c r="D9621" s="9">
        <v>51.59</v>
      </c>
      <c r="E9621" s="8">
        <v>176</v>
      </c>
    </row>
    <row r="9622" s="3" customFormat="1" ht="18.75" spans="1:5">
      <c r="A9622" s="8" t="str">
        <f t="shared" si="166"/>
        <v>250038</v>
      </c>
      <c r="B9622" s="8" t="str">
        <f>"2561409014815"</f>
        <v>2561409014815</v>
      </c>
      <c r="C9622" s="8" t="s">
        <v>15</v>
      </c>
      <c r="D9622" s="9">
        <v>51.55</v>
      </c>
      <c r="E9622" s="8">
        <v>177</v>
      </c>
    </row>
    <row r="9623" s="3" customFormat="1" ht="18.75" spans="1:5">
      <c r="A9623" s="8" t="str">
        <f t="shared" si="166"/>
        <v>250038</v>
      </c>
      <c r="B9623" s="8" t="str">
        <f>"2561409014319"</f>
        <v>2561409014319</v>
      </c>
      <c r="C9623" s="8" t="s">
        <v>15</v>
      </c>
      <c r="D9623" s="9">
        <v>51.54</v>
      </c>
      <c r="E9623" s="8">
        <v>178</v>
      </c>
    </row>
    <row r="9624" s="3" customFormat="1" ht="18.75" spans="1:5">
      <c r="A9624" s="8" t="str">
        <f t="shared" si="166"/>
        <v>250038</v>
      </c>
      <c r="B9624" s="8" t="str">
        <f>"2561409014518"</f>
        <v>2561409014518</v>
      </c>
      <c r="C9624" s="8" t="s">
        <v>15</v>
      </c>
      <c r="D9624" s="9">
        <v>51.53</v>
      </c>
      <c r="E9624" s="8">
        <v>179</v>
      </c>
    </row>
    <row r="9625" s="3" customFormat="1" ht="18.75" spans="1:5">
      <c r="A9625" s="8" t="str">
        <f t="shared" si="166"/>
        <v>250038</v>
      </c>
      <c r="B9625" s="8" t="str">
        <f>"2561409014228"</f>
        <v>2561409014228</v>
      </c>
      <c r="C9625" s="8" t="s">
        <v>15</v>
      </c>
      <c r="D9625" s="9">
        <v>51.5</v>
      </c>
      <c r="E9625" s="8">
        <v>180</v>
      </c>
    </row>
    <row r="9626" s="3" customFormat="1" ht="18.75" spans="1:5">
      <c r="A9626" s="8" t="str">
        <f t="shared" si="166"/>
        <v>250038</v>
      </c>
      <c r="B9626" s="8" t="str">
        <f>"2561409014201"</f>
        <v>2561409014201</v>
      </c>
      <c r="C9626" s="8" t="s">
        <v>15</v>
      </c>
      <c r="D9626" s="9">
        <v>51.46</v>
      </c>
      <c r="E9626" s="8">
        <v>181</v>
      </c>
    </row>
    <row r="9627" s="3" customFormat="1" ht="18.75" spans="1:5">
      <c r="A9627" s="8" t="str">
        <f t="shared" si="166"/>
        <v>250038</v>
      </c>
      <c r="B9627" s="8" t="str">
        <f>"2561409014806"</f>
        <v>2561409014806</v>
      </c>
      <c r="C9627" s="8" t="s">
        <v>15</v>
      </c>
      <c r="D9627" s="9">
        <v>51.41</v>
      </c>
      <c r="E9627" s="8">
        <v>182</v>
      </c>
    </row>
    <row r="9628" s="3" customFormat="1" ht="18.75" spans="1:5">
      <c r="A9628" s="8" t="str">
        <f t="shared" si="166"/>
        <v>250038</v>
      </c>
      <c r="B9628" s="8" t="str">
        <f>"2561409014629"</f>
        <v>2561409014629</v>
      </c>
      <c r="C9628" s="8" t="s">
        <v>15</v>
      </c>
      <c r="D9628" s="9">
        <v>51.35</v>
      </c>
      <c r="E9628" s="8">
        <v>183</v>
      </c>
    </row>
    <row r="9629" s="3" customFormat="1" ht="18.75" spans="1:5">
      <c r="A9629" s="8" t="str">
        <f t="shared" si="166"/>
        <v>250038</v>
      </c>
      <c r="B9629" s="8" t="str">
        <f>"2561409014624"</f>
        <v>2561409014624</v>
      </c>
      <c r="C9629" s="8" t="s">
        <v>15</v>
      </c>
      <c r="D9629" s="9">
        <v>51.24</v>
      </c>
      <c r="E9629" s="8">
        <v>184</v>
      </c>
    </row>
    <row r="9630" s="3" customFormat="1" ht="18.75" spans="1:5">
      <c r="A9630" s="8" t="str">
        <f t="shared" si="166"/>
        <v>250038</v>
      </c>
      <c r="B9630" s="8" t="str">
        <f>"2561409014809"</f>
        <v>2561409014809</v>
      </c>
      <c r="C9630" s="8" t="s">
        <v>15</v>
      </c>
      <c r="D9630" s="9">
        <v>51.1</v>
      </c>
      <c r="E9630" s="8">
        <v>185</v>
      </c>
    </row>
    <row r="9631" s="3" customFormat="1" ht="18.75" spans="1:5">
      <c r="A9631" s="8" t="str">
        <f t="shared" si="166"/>
        <v>250038</v>
      </c>
      <c r="B9631" s="8" t="str">
        <f>"2561409014517"</f>
        <v>2561409014517</v>
      </c>
      <c r="C9631" s="8" t="s">
        <v>15</v>
      </c>
      <c r="D9631" s="9">
        <v>51.08</v>
      </c>
      <c r="E9631" s="8">
        <v>186</v>
      </c>
    </row>
    <row r="9632" s="3" customFormat="1" ht="18.75" spans="1:5">
      <c r="A9632" s="8" t="str">
        <f t="shared" si="166"/>
        <v>250038</v>
      </c>
      <c r="B9632" s="8" t="str">
        <f>"2561409015203"</f>
        <v>2561409015203</v>
      </c>
      <c r="C9632" s="8" t="s">
        <v>15</v>
      </c>
      <c r="D9632" s="9">
        <v>51.01</v>
      </c>
      <c r="E9632" s="8">
        <v>187</v>
      </c>
    </row>
    <row r="9633" s="3" customFormat="1" ht="18.75" spans="1:5">
      <c r="A9633" s="8" t="str">
        <f t="shared" si="166"/>
        <v>250038</v>
      </c>
      <c r="B9633" s="8" t="str">
        <f>"2561409014223"</f>
        <v>2561409014223</v>
      </c>
      <c r="C9633" s="8" t="s">
        <v>15</v>
      </c>
      <c r="D9633" s="9">
        <v>50.93</v>
      </c>
      <c r="E9633" s="8">
        <v>188</v>
      </c>
    </row>
    <row r="9634" s="3" customFormat="1" ht="18.75" spans="1:5">
      <c r="A9634" s="8" t="str">
        <f t="shared" si="166"/>
        <v>250038</v>
      </c>
      <c r="B9634" s="8" t="str">
        <f>"2561409015103"</f>
        <v>2561409015103</v>
      </c>
      <c r="C9634" s="8" t="s">
        <v>15</v>
      </c>
      <c r="D9634" s="9">
        <v>50.71</v>
      </c>
      <c r="E9634" s="8">
        <v>189</v>
      </c>
    </row>
    <row r="9635" s="3" customFormat="1" ht="18.75" spans="1:5">
      <c r="A9635" s="8" t="str">
        <f t="shared" si="166"/>
        <v>250038</v>
      </c>
      <c r="B9635" s="8" t="str">
        <f>"2561409014426"</f>
        <v>2561409014426</v>
      </c>
      <c r="C9635" s="8" t="s">
        <v>15</v>
      </c>
      <c r="D9635" s="9">
        <v>50.29</v>
      </c>
      <c r="E9635" s="8">
        <v>190</v>
      </c>
    </row>
    <row r="9636" s="3" customFormat="1" ht="18.75" spans="1:5">
      <c r="A9636" s="8" t="str">
        <f t="shared" si="166"/>
        <v>250038</v>
      </c>
      <c r="B9636" s="8" t="str">
        <f>"2561409015218"</f>
        <v>2561409015218</v>
      </c>
      <c r="C9636" s="8" t="s">
        <v>15</v>
      </c>
      <c r="D9636" s="9">
        <v>50.14</v>
      </c>
      <c r="E9636" s="8">
        <v>191</v>
      </c>
    </row>
    <row r="9637" s="3" customFormat="1" ht="18.75" spans="1:5">
      <c r="A9637" s="8" t="str">
        <f t="shared" si="166"/>
        <v>250038</v>
      </c>
      <c r="B9637" s="8" t="str">
        <f>"2561409014529"</f>
        <v>2561409014529</v>
      </c>
      <c r="C9637" s="8" t="s">
        <v>15</v>
      </c>
      <c r="D9637" s="9">
        <v>50.12</v>
      </c>
      <c r="E9637" s="8">
        <v>192</v>
      </c>
    </row>
    <row r="9638" s="3" customFormat="1" ht="18.75" spans="1:5">
      <c r="A9638" s="8" t="str">
        <f t="shared" ref="A9638:A9701" si="167">"250038"</f>
        <v>250038</v>
      </c>
      <c r="B9638" s="8" t="str">
        <f>"2561409015013"</f>
        <v>2561409015013</v>
      </c>
      <c r="C9638" s="8" t="s">
        <v>15</v>
      </c>
      <c r="D9638" s="9">
        <v>50.09</v>
      </c>
      <c r="E9638" s="8">
        <v>193</v>
      </c>
    </row>
    <row r="9639" s="3" customFormat="1" ht="18.75" spans="1:5">
      <c r="A9639" s="8" t="str">
        <f t="shared" si="167"/>
        <v>250038</v>
      </c>
      <c r="B9639" s="8" t="str">
        <f>"2561409014419"</f>
        <v>2561409014419</v>
      </c>
      <c r="C9639" s="8" t="s">
        <v>15</v>
      </c>
      <c r="D9639" s="9">
        <v>50.08</v>
      </c>
      <c r="E9639" s="8">
        <v>194</v>
      </c>
    </row>
    <row r="9640" s="3" customFormat="1" ht="18.75" spans="1:5">
      <c r="A9640" s="8" t="str">
        <f t="shared" si="167"/>
        <v>250038</v>
      </c>
      <c r="B9640" s="8" t="str">
        <f>"2561409015205"</f>
        <v>2561409015205</v>
      </c>
      <c r="C9640" s="8" t="s">
        <v>15</v>
      </c>
      <c r="D9640" s="9">
        <v>50.06</v>
      </c>
      <c r="E9640" s="8">
        <v>195</v>
      </c>
    </row>
    <row r="9641" s="3" customFormat="1" ht="18.75" spans="1:5">
      <c r="A9641" s="8" t="str">
        <f t="shared" si="167"/>
        <v>250038</v>
      </c>
      <c r="B9641" s="8" t="str">
        <f>"2561409014828"</f>
        <v>2561409014828</v>
      </c>
      <c r="C9641" s="8" t="s">
        <v>15</v>
      </c>
      <c r="D9641" s="9">
        <v>50.02</v>
      </c>
      <c r="E9641" s="8">
        <v>196</v>
      </c>
    </row>
    <row r="9642" s="3" customFormat="1" ht="18.75" spans="1:5">
      <c r="A9642" s="8" t="str">
        <f t="shared" si="167"/>
        <v>250038</v>
      </c>
      <c r="B9642" s="8" t="str">
        <f>"2561409015325"</f>
        <v>2561409015325</v>
      </c>
      <c r="C9642" s="8" t="s">
        <v>15</v>
      </c>
      <c r="D9642" s="9">
        <v>49.85</v>
      </c>
      <c r="E9642" s="8">
        <v>197</v>
      </c>
    </row>
    <row r="9643" s="3" customFormat="1" ht="18.75" spans="1:5">
      <c r="A9643" s="8" t="str">
        <f t="shared" si="167"/>
        <v>250038</v>
      </c>
      <c r="B9643" s="8" t="str">
        <f>"2561409014901"</f>
        <v>2561409014901</v>
      </c>
      <c r="C9643" s="8" t="s">
        <v>15</v>
      </c>
      <c r="D9643" s="9">
        <v>49.7</v>
      </c>
      <c r="E9643" s="8">
        <v>198</v>
      </c>
    </row>
    <row r="9644" s="3" customFormat="1" ht="18.75" spans="1:5">
      <c r="A9644" s="8" t="str">
        <f t="shared" si="167"/>
        <v>250038</v>
      </c>
      <c r="B9644" s="8" t="str">
        <f>"2561409014420"</f>
        <v>2561409014420</v>
      </c>
      <c r="C9644" s="8" t="s">
        <v>15</v>
      </c>
      <c r="D9644" s="9">
        <v>49.43</v>
      </c>
      <c r="E9644" s="8">
        <v>199</v>
      </c>
    </row>
    <row r="9645" s="3" customFormat="1" ht="18.75" spans="1:5">
      <c r="A9645" s="8" t="str">
        <f t="shared" si="167"/>
        <v>250038</v>
      </c>
      <c r="B9645" s="8" t="str">
        <f>"2561409014512"</f>
        <v>2561409014512</v>
      </c>
      <c r="C9645" s="8" t="s">
        <v>15</v>
      </c>
      <c r="D9645" s="9">
        <v>49.41</v>
      </c>
      <c r="E9645" s="8">
        <v>200</v>
      </c>
    </row>
    <row r="9646" s="3" customFormat="1" ht="18.75" spans="1:5">
      <c r="A9646" s="8" t="str">
        <f t="shared" si="167"/>
        <v>250038</v>
      </c>
      <c r="B9646" s="8" t="str">
        <f>"2561409015024"</f>
        <v>2561409015024</v>
      </c>
      <c r="C9646" s="8" t="s">
        <v>15</v>
      </c>
      <c r="D9646" s="9">
        <v>49.38</v>
      </c>
      <c r="E9646" s="8">
        <v>201</v>
      </c>
    </row>
    <row r="9647" s="3" customFormat="1" ht="18.75" spans="1:5">
      <c r="A9647" s="8" t="str">
        <f t="shared" si="167"/>
        <v>250038</v>
      </c>
      <c r="B9647" s="8" t="str">
        <f>"2561409015330"</f>
        <v>2561409015330</v>
      </c>
      <c r="C9647" s="8" t="s">
        <v>15</v>
      </c>
      <c r="D9647" s="9">
        <v>49.35</v>
      </c>
      <c r="E9647" s="8">
        <v>202</v>
      </c>
    </row>
    <row r="9648" s="3" customFormat="1" ht="18.75" spans="1:5">
      <c r="A9648" s="8" t="str">
        <f t="shared" si="167"/>
        <v>250038</v>
      </c>
      <c r="B9648" s="8" t="str">
        <f>"2561409014501"</f>
        <v>2561409014501</v>
      </c>
      <c r="C9648" s="8" t="s">
        <v>15</v>
      </c>
      <c r="D9648" s="9">
        <v>49.32</v>
      </c>
      <c r="E9648" s="8">
        <v>203</v>
      </c>
    </row>
    <row r="9649" s="3" customFormat="1" ht="18.75" spans="1:5">
      <c r="A9649" s="8" t="str">
        <f t="shared" si="167"/>
        <v>250038</v>
      </c>
      <c r="B9649" s="8" t="str">
        <f>"2561409015301"</f>
        <v>2561409015301</v>
      </c>
      <c r="C9649" s="8" t="s">
        <v>15</v>
      </c>
      <c r="D9649" s="9">
        <v>48.62</v>
      </c>
      <c r="E9649" s="8">
        <v>204</v>
      </c>
    </row>
    <row r="9650" s="3" customFormat="1" ht="18.75" spans="1:5">
      <c r="A9650" s="8" t="str">
        <f t="shared" si="167"/>
        <v>250038</v>
      </c>
      <c r="B9650" s="8" t="str">
        <f>"2561409014817"</f>
        <v>2561409014817</v>
      </c>
      <c r="C9650" s="8" t="s">
        <v>15</v>
      </c>
      <c r="D9650" s="9">
        <v>48.54</v>
      </c>
      <c r="E9650" s="8">
        <v>205</v>
      </c>
    </row>
    <row r="9651" s="3" customFormat="1" ht="18.75" spans="1:5">
      <c r="A9651" s="8" t="str">
        <f t="shared" si="167"/>
        <v>250038</v>
      </c>
      <c r="B9651" s="8" t="str">
        <f>"2561409014229"</f>
        <v>2561409014229</v>
      </c>
      <c r="C9651" s="8" t="s">
        <v>15</v>
      </c>
      <c r="D9651" s="9">
        <v>48.53</v>
      </c>
      <c r="E9651" s="8">
        <v>206</v>
      </c>
    </row>
    <row r="9652" s="3" customFormat="1" ht="18.75" spans="1:5">
      <c r="A9652" s="8" t="str">
        <f t="shared" si="167"/>
        <v>250038</v>
      </c>
      <c r="B9652" s="8" t="str">
        <f>"2561409014712"</f>
        <v>2561409014712</v>
      </c>
      <c r="C9652" s="8" t="s">
        <v>15</v>
      </c>
      <c r="D9652" s="9">
        <v>48.53</v>
      </c>
      <c r="E9652" s="8">
        <v>206</v>
      </c>
    </row>
    <row r="9653" s="3" customFormat="1" ht="18.75" spans="1:5">
      <c r="A9653" s="8" t="str">
        <f t="shared" si="167"/>
        <v>250038</v>
      </c>
      <c r="B9653" s="8" t="str">
        <f>"2561409015115"</f>
        <v>2561409015115</v>
      </c>
      <c r="C9653" s="8" t="s">
        <v>15</v>
      </c>
      <c r="D9653" s="9">
        <v>48.47</v>
      </c>
      <c r="E9653" s="8">
        <v>208</v>
      </c>
    </row>
    <row r="9654" s="3" customFormat="1" ht="18.75" spans="1:5">
      <c r="A9654" s="8" t="str">
        <f t="shared" si="167"/>
        <v>250038</v>
      </c>
      <c r="B9654" s="8" t="str">
        <f>"2561409015005"</f>
        <v>2561409015005</v>
      </c>
      <c r="C9654" s="8" t="s">
        <v>15</v>
      </c>
      <c r="D9654" s="9">
        <v>48.04</v>
      </c>
      <c r="E9654" s="8">
        <v>209</v>
      </c>
    </row>
    <row r="9655" s="3" customFormat="1" ht="18.75" spans="1:5">
      <c r="A9655" s="8" t="str">
        <f t="shared" si="167"/>
        <v>250038</v>
      </c>
      <c r="B9655" s="8" t="str">
        <f>"2561409014908"</f>
        <v>2561409014908</v>
      </c>
      <c r="C9655" s="8" t="s">
        <v>15</v>
      </c>
      <c r="D9655" s="9">
        <v>47.82</v>
      </c>
      <c r="E9655" s="8">
        <v>210</v>
      </c>
    </row>
    <row r="9656" s="3" customFormat="1" ht="18.75" spans="1:5">
      <c r="A9656" s="8" t="str">
        <f t="shared" si="167"/>
        <v>250038</v>
      </c>
      <c r="B9656" s="8" t="str">
        <f>"2561409014403"</f>
        <v>2561409014403</v>
      </c>
      <c r="C9656" s="8" t="s">
        <v>15</v>
      </c>
      <c r="D9656" s="9">
        <v>47.56</v>
      </c>
      <c r="E9656" s="8">
        <v>211</v>
      </c>
    </row>
    <row r="9657" s="3" customFormat="1" ht="18.75" spans="1:5">
      <c r="A9657" s="8" t="str">
        <f t="shared" si="167"/>
        <v>250038</v>
      </c>
      <c r="B9657" s="8" t="str">
        <f>"2561409014217"</f>
        <v>2561409014217</v>
      </c>
      <c r="C9657" s="8" t="s">
        <v>15</v>
      </c>
      <c r="D9657" s="9">
        <v>47.44</v>
      </c>
      <c r="E9657" s="8">
        <v>212</v>
      </c>
    </row>
    <row r="9658" s="3" customFormat="1" ht="18.75" spans="1:5">
      <c r="A9658" s="8" t="str">
        <f t="shared" si="167"/>
        <v>250038</v>
      </c>
      <c r="B9658" s="8" t="str">
        <f>"2561409015125"</f>
        <v>2561409015125</v>
      </c>
      <c r="C9658" s="8" t="s">
        <v>15</v>
      </c>
      <c r="D9658" s="9">
        <v>47.37</v>
      </c>
      <c r="E9658" s="8">
        <v>213</v>
      </c>
    </row>
    <row r="9659" s="3" customFormat="1" ht="18.75" spans="1:5">
      <c r="A9659" s="8" t="str">
        <f t="shared" si="167"/>
        <v>250038</v>
      </c>
      <c r="B9659" s="8" t="str">
        <f>"2561409014404"</f>
        <v>2561409014404</v>
      </c>
      <c r="C9659" s="8" t="s">
        <v>15</v>
      </c>
      <c r="D9659" s="9">
        <v>47.27</v>
      </c>
      <c r="E9659" s="8">
        <v>214</v>
      </c>
    </row>
    <row r="9660" s="3" customFormat="1" ht="18.75" spans="1:5">
      <c r="A9660" s="8" t="str">
        <f t="shared" si="167"/>
        <v>250038</v>
      </c>
      <c r="B9660" s="8" t="str">
        <f>"2561409014729"</f>
        <v>2561409014729</v>
      </c>
      <c r="C9660" s="8" t="s">
        <v>15</v>
      </c>
      <c r="D9660" s="9">
        <v>46.94</v>
      </c>
      <c r="E9660" s="8">
        <v>215</v>
      </c>
    </row>
    <row r="9661" s="3" customFormat="1" ht="18.75" spans="1:5">
      <c r="A9661" s="8" t="str">
        <f t="shared" si="167"/>
        <v>250038</v>
      </c>
      <c r="B9661" s="8" t="str">
        <f>"2561409015417"</f>
        <v>2561409015417</v>
      </c>
      <c r="C9661" s="8" t="s">
        <v>15</v>
      </c>
      <c r="D9661" s="9">
        <v>46.76</v>
      </c>
      <c r="E9661" s="8">
        <v>216</v>
      </c>
    </row>
    <row r="9662" s="3" customFormat="1" ht="18.75" spans="1:5">
      <c r="A9662" s="8" t="str">
        <f t="shared" si="167"/>
        <v>250038</v>
      </c>
      <c r="B9662" s="8" t="str">
        <f>"2561409015230"</f>
        <v>2561409015230</v>
      </c>
      <c r="C9662" s="8" t="s">
        <v>15</v>
      </c>
      <c r="D9662" s="9">
        <v>46.53</v>
      </c>
      <c r="E9662" s="8">
        <v>217</v>
      </c>
    </row>
    <row r="9663" s="3" customFormat="1" ht="18.75" spans="1:5">
      <c r="A9663" s="8" t="str">
        <f t="shared" si="167"/>
        <v>250038</v>
      </c>
      <c r="B9663" s="8" t="str">
        <f>"2561409014129"</f>
        <v>2561409014129</v>
      </c>
      <c r="C9663" s="8" t="s">
        <v>15</v>
      </c>
      <c r="D9663" s="9">
        <v>46.37</v>
      </c>
      <c r="E9663" s="8">
        <v>218</v>
      </c>
    </row>
    <row r="9664" s="3" customFormat="1" ht="18.75" spans="1:5">
      <c r="A9664" s="8" t="str">
        <f t="shared" si="167"/>
        <v>250038</v>
      </c>
      <c r="B9664" s="8" t="str">
        <f>"2561409014427"</f>
        <v>2561409014427</v>
      </c>
      <c r="C9664" s="8" t="s">
        <v>15</v>
      </c>
      <c r="D9664" s="9">
        <v>46.31</v>
      </c>
      <c r="E9664" s="8">
        <v>219</v>
      </c>
    </row>
    <row r="9665" s="3" customFormat="1" ht="18.75" spans="1:5">
      <c r="A9665" s="8" t="str">
        <f t="shared" si="167"/>
        <v>250038</v>
      </c>
      <c r="B9665" s="8" t="str">
        <f>"2561409014127"</f>
        <v>2561409014127</v>
      </c>
      <c r="C9665" s="8" t="s">
        <v>15</v>
      </c>
      <c r="D9665" s="9">
        <v>46.29</v>
      </c>
      <c r="E9665" s="8">
        <v>220</v>
      </c>
    </row>
    <row r="9666" s="3" customFormat="1" ht="18.75" spans="1:5">
      <c r="A9666" s="8" t="str">
        <f t="shared" si="167"/>
        <v>250038</v>
      </c>
      <c r="B9666" s="8" t="str">
        <f>"2561409014303"</f>
        <v>2561409014303</v>
      </c>
      <c r="C9666" s="8" t="s">
        <v>15</v>
      </c>
      <c r="D9666" s="9">
        <v>46.17</v>
      </c>
      <c r="E9666" s="8">
        <v>221</v>
      </c>
    </row>
    <row r="9667" s="3" customFormat="1" ht="18.75" spans="1:5">
      <c r="A9667" s="8" t="str">
        <f t="shared" si="167"/>
        <v>250038</v>
      </c>
      <c r="B9667" s="8" t="str">
        <f>"2561409015222"</f>
        <v>2561409015222</v>
      </c>
      <c r="C9667" s="8" t="s">
        <v>15</v>
      </c>
      <c r="D9667" s="9">
        <v>46.11</v>
      </c>
      <c r="E9667" s="8">
        <v>222</v>
      </c>
    </row>
    <row r="9668" s="3" customFormat="1" ht="18.75" spans="1:5">
      <c r="A9668" s="8" t="str">
        <f t="shared" si="167"/>
        <v>250038</v>
      </c>
      <c r="B9668" s="8" t="str">
        <f>"2561409014321"</f>
        <v>2561409014321</v>
      </c>
      <c r="C9668" s="8" t="s">
        <v>15</v>
      </c>
      <c r="D9668" s="9">
        <v>45.96</v>
      </c>
      <c r="E9668" s="8">
        <v>223</v>
      </c>
    </row>
    <row r="9669" s="3" customFormat="1" ht="18.75" spans="1:5">
      <c r="A9669" s="8" t="str">
        <f t="shared" si="167"/>
        <v>250038</v>
      </c>
      <c r="B9669" s="8" t="str">
        <f>"2561409014912"</f>
        <v>2561409014912</v>
      </c>
      <c r="C9669" s="8" t="s">
        <v>15</v>
      </c>
      <c r="D9669" s="9">
        <v>45.09</v>
      </c>
      <c r="E9669" s="8">
        <v>224</v>
      </c>
    </row>
    <row r="9670" s="3" customFormat="1" ht="18.75" spans="1:5">
      <c r="A9670" s="8" t="str">
        <f t="shared" si="167"/>
        <v>250038</v>
      </c>
      <c r="B9670" s="8" t="str">
        <f>"2561409015030"</f>
        <v>2561409015030</v>
      </c>
      <c r="C9670" s="8" t="s">
        <v>15</v>
      </c>
      <c r="D9670" s="9">
        <v>44.87</v>
      </c>
      <c r="E9670" s="8">
        <v>225</v>
      </c>
    </row>
    <row r="9671" s="3" customFormat="1" ht="18.75" spans="1:5">
      <c r="A9671" s="8" t="str">
        <f t="shared" si="167"/>
        <v>250038</v>
      </c>
      <c r="B9671" s="8" t="str">
        <f>"2561409014717"</f>
        <v>2561409014717</v>
      </c>
      <c r="C9671" s="8" t="s">
        <v>15</v>
      </c>
      <c r="D9671" s="9">
        <v>44.81</v>
      </c>
      <c r="E9671" s="8">
        <v>226</v>
      </c>
    </row>
    <row r="9672" s="3" customFormat="1" ht="18.75" spans="1:5">
      <c r="A9672" s="8" t="str">
        <f t="shared" si="167"/>
        <v>250038</v>
      </c>
      <c r="B9672" s="8" t="str">
        <f>"2561409015303"</f>
        <v>2561409015303</v>
      </c>
      <c r="C9672" s="8" t="s">
        <v>15</v>
      </c>
      <c r="D9672" s="9">
        <v>44.77</v>
      </c>
      <c r="E9672" s="8">
        <v>227</v>
      </c>
    </row>
    <row r="9673" s="3" customFormat="1" ht="18.75" spans="1:5">
      <c r="A9673" s="8" t="str">
        <f t="shared" si="167"/>
        <v>250038</v>
      </c>
      <c r="B9673" s="8" t="str">
        <f>"2561409014730"</f>
        <v>2561409014730</v>
      </c>
      <c r="C9673" s="8" t="s">
        <v>15</v>
      </c>
      <c r="D9673" s="9">
        <v>44.76</v>
      </c>
      <c r="E9673" s="8">
        <v>228</v>
      </c>
    </row>
    <row r="9674" s="3" customFormat="1" ht="18.75" spans="1:5">
      <c r="A9674" s="8" t="str">
        <f t="shared" si="167"/>
        <v>250038</v>
      </c>
      <c r="B9674" s="8" t="str">
        <f>"2561409014619"</f>
        <v>2561409014619</v>
      </c>
      <c r="C9674" s="8" t="s">
        <v>15</v>
      </c>
      <c r="D9674" s="9">
        <v>44.65</v>
      </c>
      <c r="E9674" s="8">
        <v>229</v>
      </c>
    </row>
    <row r="9675" s="3" customFormat="1" ht="18.75" spans="1:5">
      <c r="A9675" s="8" t="str">
        <f t="shared" si="167"/>
        <v>250038</v>
      </c>
      <c r="B9675" s="8" t="str">
        <f>"2561409014726"</f>
        <v>2561409014726</v>
      </c>
      <c r="C9675" s="8" t="s">
        <v>15</v>
      </c>
      <c r="D9675" s="9">
        <v>44.56</v>
      </c>
      <c r="E9675" s="8">
        <v>230</v>
      </c>
    </row>
    <row r="9676" s="3" customFormat="1" ht="18.75" spans="1:5">
      <c r="A9676" s="8" t="str">
        <f t="shared" si="167"/>
        <v>250038</v>
      </c>
      <c r="B9676" s="8" t="str">
        <f>"2561409014807"</f>
        <v>2561409014807</v>
      </c>
      <c r="C9676" s="8" t="s">
        <v>15</v>
      </c>
      <c r="D9676" s="9">
        <v>44.51</v>
      </c>
      <c r="E9676" s="8">
        <v>231</v>
      </c>
    </row>
    <row r="9677" s="3" customFormat="1" ht="18.75" spans="1:5">
      <c r="A9677" s="8" t="str">
        <f t="shared" si="167"/>
        <v>250038</v>
      </c>
      <c r="B9677" s="8" t="str">
        <f>"2561409014310"</f>
        <v>2561409014310</v>
      </c>
      <c r="C9677" s="8" t="s">
        <v>15</v>
      </c>
      <c r="D9677" s="9">
        <v>44.48</v>
      </c>
      <c r="E9677" s="8">
        <v>232</v>
      </c>
    </row>
    <row r="9678" s="3" customFormat="1" ht="18.75" spans="1:5">
      <c r="A9678" s="8" t="str">
        <f t="shared" si="167"/>
        <v>250038</v>
      </c>
      <c r="B9678" s="8" t="str">
        <f>"2561409015229"</f>
        <v>2561409015229</v>
      </c>
      <c r="C9678" s="8" t="s">
        <v>15</v>
      </c>
      <c r="D9678" s="9">
        <v>44.09</v>
      </c>
      <c r="E9678" s="8">
        <v>233</v>
      </c>
    </row>
    <row r="9679" s="3" customFormat="1" ht="18.75" spans="1:5">
      <c r="A9679" s="8" t="str">
        <f t="shared" si="167"/>
        <v>250038</v>
      </c>
      <c r="B9679" s="8" t="str">
        <f>"2561409015110"</f>
        <v>2561409015110</v>
      </c>
      <c r="C9679" s="8" t="s">
        <v>15</v>
      </c>
      <c r="D9679" s="9">
        <v>43.73</v>
      </c>
      <c r="E9679" s="8">
        <v>234</v>
      </c>
    </row>
    <row r="9680" s="3" customFormat="1" ht="18.75" spans="1:5">
      <c r="A9680" s="8" t="str">
        <f t="shared" si="167"/>
        <v>250038</v>
      </c>
      <c r="B9680" s="8" t="str">
        <f>"2561409014705"</f>
        <v>2561409014705</v>
      </c>
      <c r="C9680" s="8" t="s">
        <v>15</v>
      </c>
      <c r="D9680" s="9">
        <v>43.71</v>
      </c>
      <c r="E9680" s="8">
        <v>235</v>
      </c>
    </row>
    <row r="9681" s="3" customFormat="1" ht="18.75" spans="1:5">
      <c r="A9681" s="8" t="str">
        <f t="shared" si="167"/>
        <v>250038</v>
      </c>
      <c r="B9681" s="8" t="str">
        <f>"2561409014503"</f>
        <v>2561409014503</v>
      </c>
      <c r="C9681" s="8" t="s">
        <v>15</v>
      </c>
      <c r="D9681" s="9">
        <v>43.17</v>
      </c>
      <c r="E9681" s="8">
        <v>236</v>
      </c>
    </row>
    <row r="9682" s="3" customFormat="1" ht="18.75" spans="1:5">
      <c r="A9682" s="8" t="str">
        <f t="shared" si="167"/>
        <v>250038</v>
      </c>
      <c r="B9682" s="8" t="str">
        <f>"2561409015118"</f>
        <v>2561409015118</v>
      </c>
      <c r="C9682" s="8" t="s">
        <v>15</v>
      </c>
      <c r="D9682" s="9">
        <v>42.85</v>
      </c>
      <c r="E9682" s="8">
        <v>237</v>
      </c>
    </row>
    <row r="9683" s="3" customFormat="1" ht="18.75" spans="1:5">
      <c r="A9683" s="8" t="str">
        <f t="shared" si="167"/>
        <v>250038</v>
      </c>
      <c r="B9683" s="8" t="str">
        <f>"2561409015424"</f>
        <v>2561409015424</v>
      </c>
      <c r="C9683" s="8" t="s">
        <v>15</v>
      </c>
      <c r="D9683" s="9">
        <v>42.29</v>
      </c>
      <c r="E9683" s="8">
        <v>238</v>
      </c>
    </row>
    <row r="9684" s="3" customFormat="1" ht="18.75" spans="1:5">
      <c r="A9684" s="8" t="str">
        <f t="shared" si="167"/>
        <v>250038</v>
      </c>
      <c r="B9684" s="8" t="str">
        <f>"2561409015310"</f>
        <v>2561409015310</v>
      </c>
      <c r="C9684" s="8" t="s">
        <v>15</v>
      </c>
      <c r="D9684" s="9">
        <v>42.17</v>
      </c>
      <c r="E9684" s="8">
        <v>239</v>
      </c>
    </row>
    <row r="9685" s="3" customFormat="1" ht="18.75" spans="1:5">
      <c r="A9685" s="8" t="str">
        <f t="shared" si="167"/>
        <v>250038</v>
      </c>
      <c r="B9685" s="8" t="str">
        <f>"2561409014507"</f>
        <v>2561409014507</v>
      </c>
      <c r="C9685" s="8" t="s">
        <v>15</v>
      </c>
      <c r="D9685" s="9">
        <v>41.06</v>
      </c>
      <c r="E9685" s="8">
        <v>240</v>
      </c>
    </row>
    <row r="9686" s="3" customFormat="1" ht="18.75" spans="1:5">
      <c r="A9686" s="8" t="str">
        <f t="shared" si="167"/>
        <v>250038</v>
      </c>
      <c r="B9686" s="8" t="str">
        <f>"2561409015213"</f>
        <v>2561409015213</v>
      </c>
      <c r="C9686" s="8" t="s">
        <v>15</v>
      </c>
      <c r="D9686" s="9">
        <v>40.81</v>
      </c>
      <c r="E9686" s="8">
        <v>241</v>
      </c>
    </row>
    <row r="9687" s="3" customFormat="1" ht="18.75" spans="1:5">
      <c r="A9687" s="8" t="str">
        <f t="shared" si="167"/>
        <v>250038</v>
      </c>
      <c r="B9687" s="8" t="str">
        <f>"2561409014711"</f>
        <v>2561409014711</v>
      </c>
      <c r="C9687" s="8" t="s">
        <v>15</v>
      </c>
      <c r="D9687" s="9">
        <v>38.31</v>
      </c>
      <c r="E9687" s="8">
        <v>242</v>
      </c>
    </row>
    <row r="9688" s="3" customFormat="1" ht="18.75" spans="1:5">
      <c r="A9688" s="8" t="str">
        <f t="shared" si="167"/>
        <v>250038</v>
      </c>
      <c r="B9688" s="8" t="str">
        <f>"2561409015401"</f>
        <v>2561409015401</v>
      </c>
      <c r="C9688" s="8" t="s">
        <v>15</v>
      </c>
      <c r="D9688" s="9">
        <v>37.14</v>
      </c>
      <c r="E9688" s="8">
        <v>243</v>
      </c>
    </row>
    <row r="9689" s="3" customFormat="1" ht="18.75" spans="1:5">
      <c r="A9689" s="8" t="str">
        <f t="shared" si="167"/>
        <v>250038</v>
      </c>
      <c r="B9689" s="8" t="str">
        <f>"2561409014826"</f>
        <v>2561409014826</v>
      </c>
      <c r="C9689" s="8" t="s">
        <v>15</v>
      </c>
      <c r="D9689" s="9">
        <v>37.06</v>
      </c>
      <c r="E9689" s="8">
        <v>244</v>
      </c>
    </row>
    <row r="9690" s="3" customFormat="1" ht="18.75" spans="1:5">
      <c r="A9690" s="8" t="str">
        <f t="shared" si="167"/>
        <v>250038</v>
      </c>
      <c r="B9690" s="8" t="str">
        <f>"2561409014914"</f>
        <v>2561409014914</v>
      </c>
      <c r="C9690" s="8" t="s">
        <v>15</v>
      </c>
      <c r="D9690" s="9">
        <v>34.3</v>
      </c>
      <c r="E9690" s="8">
        <v>245</v>
      </c>
    </row>
    <row r="9691" s="3" customFormat="1" ht="18.75" spans="1:5">
      <c r="A9691" s="8" t="str">
        <f t="shared" si="167"/>
        <v>250038</v>
      </c>
      <c r="B9691" s="8" t="str">
        <f>"2561409014716"</f>
        <v>2561409014716</v>
      </c>
      <c r="C9691" s="8" t="s">
        <v>15</v>
      </c>
      <c r="D9691" s="9">
        <v>33.65</v>
      </c>
      <c r="E9691" s="8">
        <v>246</v>
      </c>
    </row>
    <row r="9692" s="3" customFormat="1" ht="18.75" spans="1:5">
      <c r="A9692" s="8" t="str">
        <f t="shared" si="167"/>
        <v>250038</v>
      </c>
      <c r="B9692" s="8" t="str">
        <f>"2561409014929"</f>
        <v>2561409014929</v>
      </c>
      <c r="C9692" s="8" t="s">
        <v>15</v>
      </c>
      <c r="D9692" s="9">
        <v>32.03</v>
      </c>
      <c r="E9692" s="8">
        <v>247</v>
      </c>
    </row>
    <row r="9693" s="3" customFormat="1" ht="18.75" spans="1:5">
      <c r="A9693" s="8" t="str">
        <f t="shared" si="167"/>
        <v>250038</v>
      </c>
      <c r="B9693" s="8" t="str">
        <f>"2561409014724"</f>
        <v>2561409014724</v>
      </c>
      <c r="C9693" s="8" t="s">
        <v>15</v>
      </c>
      <c r="D9693" s="9">
        <v>31.66</v>
      </c>
      <c r="E9693" s="8">
        <v>248</v>
      </c>
    </row>
    <row r="9694" s="3" customFormat="1" ht="18.75" spans="1:5">
      <c r="A9694" s="8" t="str">
        <f t="shared" si="167"/>
        <v>250038</v>
      </c>
      <c r="B9694" s="8" t="str">
        <f>"2561409014115"</f>
        <v>2561409014115</v>
      </c>
      <c r="C9694" s="8" t="s">
        <v>15</v>
      </c>
      <c r="D9694" s="9">
        <v>0</v>
      </c>
      <c r="E9694" s="8">
        <v>249</v>
      </c>
    </row>
    <row r="9695" s="3" customFormat="1" ht="18.75" spans="1:5">
      <c r="A9695" s="8" t="str">
        <f t="shared" si="167"/>
        <v>250038</v>
      </c>
      <c r="B9695" s="8" t="str">
        <f>"2561409014116"</f>
        <v>2561409014116</v>
      </c>
      <c r="C9695" s="8" t="s">
        <v>15</v>
      </c>
      <c r="D9695" s="9">
        <v>0</v>
      </c>
      <c r="E9695" s="8">
        <v>249</v>
      </c>
    </row>
    <row r="9696" s="3" customFormat="1" ht="18.75" spans="1:5">
      <c r="A9696" s="8" t="str">
        <f t="shared" si="167"/>
        <v>250038</v>
      </c>
      <c r="B9696" s="8" t="str">
        <f>"2561409014118"</f>
        <v>2561409014118</v>
      </c>
      <c r="C9696" s="8" t="s">
        <v>15</v>
      </c>
      <c r="D9696" s="9">
        <v>0</v>
      </c>
      <c r="E9696" s="8">
        <v>249</v>
      </c>
    </row>
    <row r="9697" s="3" customFormat="1" ht="18.75" spans="1:5">
      <c r="A9697" s="8" t="str">
        <f t="shared" si="167"/>
        <v>250038</v>
      </c>
      <c r="B9697" s="8" t="str">
        <f>"2561409014121"</f>
        <v>2561409014121</v>
      </c>
      <c r="C9697" s="8" t="s">
        <v>15</v>
      </c>
      <c r="D9697" s="9">
        <v>0</v>
      </c>
      <c r="E9697" s="8">
        <v>249</v>
      </c>
    </row>
    <row r="9698" s="3" customFormat="1" ht="18.75" spans="1:5">
      <c r="A9698" s="8" t="str">
        <f t="shared" si="167"/>
        <v>250038</v>
      </c>
      <c r="B9698" s="8" t="str">
        <f>"2561409014123"</f>
        <v>2561409014123</v>
      </c>
      <c r="C9698" s="8" t="s">
        <v>15</v>
      </c>
      <c r="D9698" s="9">
        <v>0</v>
      </c>
      <c r="E9698" s="8">
        <v>249</v>
      </c>
    </row>
    <row r="9699" s="3" customFormat="1" ht="18.75" spans="1:5">
      <c r="A9699" s="8" t="str">
        <f t="shared" si="167"/>
        <v>250038</v>
      </c>
      <c r="B9699" s="8" t="str">
        <f>"2561409014124"</f>
        <v>2561409014124</v>
      </c>
      <c r="C9699" s="8" t="s">
        <v>15</v>
      </c>
      <c r="D9699" s="9">
        <v>0</v>
      </c>
      <c r="E9699" s="8">
        <v>249</v>
      </c>
    </row>
    <row r="9700" s="3" customFormat="1" ht="18.75" spans="1:5">
      <c r="A9700" s="8" t="str">
        <f t="shared" si="167"/>
        <v>250038</v>
      </c>
      <c r="B9700" s="8" t="str">
        <f>"2561409014126"</f>
        <v>2561409014126</v>
      </c>
      <c r="C9700" s="8" t="s">
        <v>15</v>
      </c>
      <c r="D9700" s="9">
        <v>0</v>
      </c>
      <c r="E9700" s="8">
        <v>249</v>
      </c>
    </row>
    <row r="9701" s="3" customFormat="1" ht="18.75" spans="1:5">
      <c r="A9701" s="8" t="str">
        <f t="shared" si="167"/>
        <v>250038</v>
      </c>
      <c r="B9701" s="8" t="str">
        <f>"2561409014203"</f>
        <v>2561409014203</v>
      </c>
      <c r="C9701" s="8" t="s">
        <v>15</v>
      </c>
      <c r="D9701" s="9">
        <v>0</v>
      </c>
      <c r="E9701" s="8">
        <v>249</v>
      </c>
    </row>
    <row r="9702" s="3" customFormat="1" ht="18.75" spans="1:5">
      <c r="A9702" s="8" t="str">
        <f t="shared" ref="A9702:A9765" si="168">"250038"</f>
        <v>250038</v>
      </c>
      <c r="B9702" s="8" t="str">
        <f>"2561409014206"</f>
        <v>2561409014206</v>
      </c>
      <c r="C9702" s="8" t="s">
        <v>15</v>
      </c>
      <c r="D9702" s="9">
        <v>0</v>
      </c>
      <c r="E9702" s="8">
        <v>249</v>
      </c>
    </row>
    <row r="9703" s="3" customFormat="1" ht="18.75" spans="1:5">
      <c r="A9703" s="8" t="str">
        <f t="shared" si="168"/>
        <v>250038</v>
      </c>
      <c r="B9703" s="8" t="str">
        <f>"2561409014208"</f>
        <v>2561409014208</v>
      </c>
      <c r="C9703" s="8" t="s">
        <v>15</v>
      </c>
      <c r="D9703" s="9">
        <v>0</v>
      </c>
      <c r="E9703" s="8">
        <v>249</v>
      </c>
    </row>
    <row r="9704" s="3" customFormat="1" ht="18.75" spans="1:5">
      <c r="A9704" s="8" t="str">
        <f t="shared" si="168"/>
        <v>250038</v>
      </c>
      <c r="B9704" s="8" t="str">
        <f>"2561409014209"</f>
        <v>2561409014209</v>
      </c>
      <c r="C9704" s="8" t="s">
        <v>15</v>
      </c>
      <c r="D9704" s="9">
        <v>0</v>
      </c>
      <c r="E9704" s="8">
        <v>249</v>
      </c>
    </row>
    <row r="9705" s="3" customFormat="1" ht="18.75" spans="1:5">
      <c r="A9705" s="8" t="str">
        <f t="shared" si="168"/>
        <v>250038</v>
      </c>
      <c r="B9705" s="8" t="str">
        <f>"2561409014210"</f>
        <v>2561409014210</v>
      </c>
      <c r="C9705" s="8" t="s">
        <v>15</v>
      </c>
      <c r="D9705" s="9">
        <v>0</v>
      </c>
      <c r="E9705" s="8">
        <v>249</v>
      </c>
    </row>
    <row r="9706" s="3" customFormat="1" ht="18.75" spans="1:5">
      <c r="A9706" s="8" t="str">
        <f t="shared" si="168"/>
        <v>250038</v>
      </c>
      <c r="B9706" s="8" t="str">
        <f>"2561409014212"</f>
        <v>2561409014212</v>
      </c>
      <c r="C9706" s="8" t="s">
        <v>15</v>
      </c>
      <c r="D9706" s="9">
        <v>0</v>
      </c>
      <c r="E9706" s="8">
        <v>249</v>
      </c>
    </row>
    <row r="9707" s="3" customFormat="1" ht="18.75" spans="1:5">
      <c r="A9707" s="8" t="str">
        <f t="shared" si="168"/>
        <v>250038</v>
      </c>
      <c r="B9707" s="8" t="str">
        <f>"2561409014213"</f>
        <v>2561409014213</v>
      </c>
      <c r="C9707" s="8" t="s">
        <v>15</v>
      </c>
      <c r="D9707" s="9">
        <v>0</v>
      </c>
      <c r="E9707" s="8">
        <v>249</v>
      </c>
    </row>
    <row r="9708" s="3" customFormat="1" ht="18.75" spans="1:5">
      <c r="A9708" s="8" t="str">
        <f t="shared" si="168"/>
        <v>250038</v>
      </c>
      <c r="B9708" s="8" t="str">
        <f>"2561409014214"</f>
        <v>2561409014214</v>
      </c>
      <c r="C9708" s="8" t="s">
        <v>15</v>
      </c>
      <c r="D9708" s="9">
        <v>0</v>
      </c>
      <c r="E9708" s="8">
        <v>249</v>
      </c>
    </row>
    <row r="9709" s="3" customFormat="1" ht="18.75" spans="1:5">
      <c r="A9709" s="8" t="str">
        <f t="shared" si="168"/>
        <v>250038</v>
      </c>
      <c r="B9709" s="8" t="str">
        <f>"2561409014215"</f>
        <v>2561409014215</v>
      </c>
      <c r="C9709" s="8" t="s">
        <v>15</v>
      </c>
      <c r="D9709" s="9">
        <v>0</v>
      </c>
      <c r="E9709" s="8">
        <v>249</v>
      </c>
    </row>
    <row r="9710" s="3" customFormat="1" ht="18.75" spans="1:5">
      <c r="A9710" s="8" t="str">
        <f t="shared" si="168"/>
        <v>250038</v>
      </c>
      <c r="B9710" s="8" t="str">
        <f>"2561409014216"</f>
        <v>2561409014216</v>
      </c>
      <c r="C9710" s="8" t="s">
        <v>15</v>
      </c>
      <c r="D9710" s="9">
        <v>0</v>
      </c>
      <c r="E9710" s="8">
        <v>249</v>
      </c>
    </row>
    <row r="9711" s="3" customFormat="1" ht="18.75" spans="1:5">
      <c r="A9711" s="8" t="str">
        <f t="shared" si="168"/>
        <v>250038</v>
      </c>
      <c r="B9711" s="8" t="str">
        <f>"2561409014220"</f>
        <v>2561409014220</v>
      </c>
      <c r="C9711" s="8" t="s">
        <v>15</v>
      </c>
      <c r="D9711" s="9">
        <v>0</v>
      </c>
      <c r="E9711" s="8">
        <v>249</v>
      </c>
    </row>
    <row r="9712" s="3" customFormat="1" ht="18.75" spans="1:5">
      <c r="A9712" s="8" t="str">
        <f t="shared" si="168"/>
        <v>250038</v>
      </c>
      <c r="B9712" s="8" t="str">
        <f>"2561409014221"</f>
        <v>2561409014221</v>
      </c>
      <c r="C9712" s="8" t="s">
        <v>15</v>
      </c>
      <c r="D9712" s="9">
        <v>0</v>
      </c>
      <c r="E9712" s="8">
        <v>249</v>
      </c>
    </row>
    <row r="9713" s="3" customFormat="1" ht="18.75" spans="1:5">
      <c r="A9713" s="8" t="str">
        <f t="shared" si="168"/>
        <v>250038</v>
      </c>
      <c r="B9713" s="8" t="str">
        <f>"2561409014222"</f>
        <v>2561409014222</v>
      </c>
      <c r="C9713" s="8" t="s">
        <v>15</v>
      </c>
      <c r="D9713" s="9">
        <v>0</v>
      </c>
      <c r="E9713" s="8">
        <v>249</v>
      </c>
    </row>
    <row r="9714" s="3" customFormat="1" ht="18.75" spans="1:5">
      <c r="A9714" s="8" t="str">
        <f t="shared" si="168"/>
        <v>250038</v>
      </c>
      <c r="B9714" s="8" t="str">
        <f>"2561409014224"</f>
        <v>2561409014224</v>
      </c>
      <c r="C9714" s="8" t="s">
        <v>15</v>
      </c>
      <c r="D9714" s="9">
        <v>0</v>
      </c>
      <c r="E9714" s="8">
        <v>249</v>
      </c>
    </row>
    <row r="9715" s="3" customFormat="1" ht="18.75" spans="1:5">
      <c r="A9715" s="8" t="str">
        <f t="shared" si="168"/>
        <v>250038</v>
      </c>
      <c r="B9715" s="8" t="str">
        <f>"2561409014227"</f>
        <v>2561409014227</v>
      </c>
      <c r="C9715" s="8" t="s">
        <v>15</v>
      </c>
      <c r="D9715" s="9">
        <v>0</v>
      </c>
      <c r="E9715" s="8">
        <v>249</v>
      </c>
    </row>
    <row r="9716" s="3" customFormat="1" ht="18.75" spans="1:5">
      <c r="A9716" s="8" t="str">
        <f t="shared" si="168"/>
        <v>250038</v>
      </c>
      <c r="B9716" s="8" t="str">
        <f>"2561409014301"</f>
        <v>2561409014301</v>
      </c>
      <c r="C9716" s="8" t="s">
        <v>15</v>
      </c>
      <c r="D9716" s="9">
        <v>0</v>
      </c>
      <c r="E9716" s="8">
        <v>249</v>
      </c>
    </row>
    <row r="9717" s="3" customFormat="1" ht="18.75" spans="1:5">
      <c r="A9717" s="8" t="str">
        <f t="shared" si="168"/>
        <v>250038</v>
      </c>
      <c r="B9717" s="8" t="str">
        <f>"2561409014304"</f>
        <v>2561409014304</v>
      </c>
      <c r="C9717" s="8" t="s">
        <v>15</v>
      </c>
      <c r="D9717" s="9">
        <v>0</v>
      </c>
      <c r="E9717" s="8">
        <v>249</v>
      </c>
    </row>
    <row r="9718" s="3" customFormat="1" ht="18.75" spans="1:5">
      <c r="A9718" s="8" t="str">
        <f t="shared" si="168"/>
        <v>250038</v>
      </c>
      <c r="B9718" s="8" t="str">
        <f>"2561409014305"</f>
        <v>2561409014305</v>
      </c>
      <c r="C9718" s="8" t="s">
        <v>15</v>
      </c>
      <c r="D9718" s="9">
        <v>0</v>
      </c>
      <c r="E9718" s="8">
        <v>249</v>
      </c>
    </row>
    <row r="9719" s="3" customFormat="1" ht="18.75" spans="1:5">
      <c r="A9719" s="8" t="str">
        <f t="shared" si="168"/>
        <v>250038</v>
      </c>
      <c r="B9719" s="8" t="str">
        <f>"2561409014312"</f>
        <v>2561409014312</v>
      </c>
      <c r="C9719" s="8" t="s">
        <v>15</v>
      </c>
      <c r="D9719" s="9">
        <v>0</v>
      </c>
      <c r="E9719" s="8">
        <v>249</v>
      </c>
    </row>
    <row r="9720" s="3" customFormat="1" ht="18.75" spans="1:5">
      <c r="A9720" s="8" t="str">
        <f t="shared" si="168"/>
        <v>250038</v>
      </c>
      <c r="B9720" s="8" t="str">
        <f>"2561409014313"</f>
        <v>2561409014313</v>
      </c>
      <c r="C9720" s="8" t="s">
        <v>15</v>
      </c>
      <c r="D9720" s="9">
        <v>0</v>
      </c>
      <c r="E9720" s="8">
        <v>249</v>
      </c>
    </row>
    <row r="9721" s="3" customFormat="1" ht="18.75" spans="1:5">
      <c r="A9721" s="8" t="str">
        <f t="shared" si="168"/>
        <v>250038</v>
      </c>
      <c r="B9721" s="8" t="str">
        <f>"2561409014316"</f>
        <v>2561409014316</v>
      </c>
      <c r="C9721" s="8" t="s">
        <v>15</v>
      </c>
      <c r="D9721" s="9">
        <v>0</v>
      </c>
      <c r="E9721" s="8">
        <v>249</v>
      </c>
    </row>
    <row r="9722" s="3" customFormat="1" ht="18.75" spans="1:5">
      <c r="A9722" s="8" t="str">
        <f t="shared" si="168"/>
        <v>250038</v>
      </c>
      <c r="B9722" s="8" t="str">
        <f>"2561409014318"</f>
        <v>2561409014318</v>
      </c>
      <c r="C9722" s="8" t="s">
        <v>15</v>
      </c>
      <c r="D9722" s="9">
        <v>0</v>
      </c>
      <c r="E9722" s="8">
        <v>249</v>
      </c>
    </row>
    <row r="9723" s="3" customFormat="1" ht="18.75" spans="1:5">
      <c r="A9723" s="8" t="str">
        <f t="shared" si="168"/>
        <v>250038</v>
      </c>
      <c r="B9723" s="8" t="str">
        <f>"2561409014320"</f>
        <v>2561409014320</v>
      </c>
      <c r="C9723" s="8" t="s">
        <v>15</v>
      </c>
      <c r="D9723" s="9">
        <v>0</v>
      </c>
      <c r="E9723" s="8">
        <v>249</v>
      </c>
    </row>
    <row r="9724" s="3" customFormat="1" ht="18.75" spans="1:5">
      <c r="A9724" s="8" t="str">
        <f t="shared" si="168"/>
        <v>250038</v>
      </c>
      <c r="B9724" s="8" t="str">
        <f>"2561409014324"</f>
        <v>2561409014324</v>
      </c>
      <c r="C9724" s="8" t="s">
        <v>15</v>
      </c>
      <c r="D9724" s="9">
        <v>0</v>
      </c>
      <c r="E9724" s="8">
        <v>249</v>
      </c>
    </row>
    <row r="9725" s="3" customFormat="1" ht="18.75" spans="1:5">
      <c r="A9725" s="8" t="str">
        <f t="shared" si="168"/>
        <v>250038</v>
      </c>
      <c r="B9725" s="8" t="str">
        <f>"2561409014325"</f>
        <v>2561409014325</v>
      </c>
      <c r="C9725" s="8" t="s">
        <v>15</v>
      </c>
      <c r="D9725" s="9">
        <v>0</v>
      </c>
      <c r="E9725" s="8">
        <v>249</v>
      </c>
    </row>
    <row r="9726" s="3" customFormat="1" ht="18.75" spans="1:5">
      <c r="A9726" s="8" t="str">
        <f t="shared" si="168"/>
        <v>250038</v>
      </c>
      <c r="B9726" s="8" t="str">
        <f>"2561409014326"</f>
        <v>2561409014326</v>
      </c>
      <c r="C9726" s="8" t="s">
        <v>15</v>
      </c>
      <c r="D9726" s="9">
        <v>0</v>
      </c>
      <c r="E9726" s="8">
        <v>249</v>
      </c>
    </row>
    <row r="9727" s="3" customFormat="1" ht="18.75" spans="1:5">
      <c r="A9727" s="8" t="str">
        <f t="shared" si="168"/>
        <v>250038</v>
      </c>
      <c r="B9727" s="8" t="str">
        <f>"2561409014328"</f>
        <v>2561409014328</v>
      </c>
      <c r="C9727" s="8" t="s">
        <v>15</v>
      </c>
      <c r="D9727" s="9">
        <v>0</v>
      </c>
      <c r="E9727" s="8">
        <v>249</v>
      </c>
    </row>
    <row r="9728" s="3" customFormat="1" ht="18.75" spans="1:5">
      <c r="A9728" s="8" t="str">
        <f t="shared" si="168"/>
        <v>250038</v>
      </c>
      <c r="B9728" s="8" t="str">
        <f>"2561409014329"</f>
        <v>2561409014329</v>
      </c>
      <c r="C9728" s="8" t="s">
        <v>15</v>
      </c>
      <c r="D9728" s="9">
        <v>0</v>
      </c>
      <c r="E9728" s="8">
        <v>249</v>
      </c>
    </row>
    <row r="9729" s="3" customFormat="1" ht="18.75" spans="1:5">
      <c r="A9729" s="8" t="str">
        <f t="shared" si="168"/>
        <v>250038</v>
      </c>
      <c r="B9729" s="8" t="str">
        <f>"2561409014401"</f>
        <v>2561409014401</v>
      </c>
      <c r="C9729" s="8" t="s">
        <v>15</v>
      </c>
      <c r="D9729" s="9">
        <v>0</v>
      </c>
      <c r="E9729" s="8">
        <v>249</v>
      </c>
    </row>
    <row r="9730" s="3" customFormat="1" ht="18.75" spans="1:5">
      <c r="A9730" s="8" t="str">
        <f t="shared" si="168"/>
        <v>250038</v>
      </c>
      <c r="B9730" s="8" t="str">
        <f>"2561409014402"</f>
        <v>2561409014402</v>
      </c>
      <c r="C9730" s="8" t="s">
        <v>15</v>
      </c>
      <c r="D9730" s="9">
        <v>0</v>
      </c>
      <c r="E9730" s="8">
        <v>249</v>
      </c>
    </row>
    <row r="9731" s="3" customFormat="1" ht="18.75" spans="1:5">
      <c r="A9731" s="8" t="str">
        <f t="shared" si="168"/>
        <v>250038</v>
      </c>
      <c r="B9731" s="8" t="str">
        <f>"2561409014405"</f>
        <v>2561409014405</v>
      </c>
      <c r="C9731" s="8" t="s">
        <v>15</v>
      </c>
      <c r="D9731" s="9">
        <v>0</v>
      </c>
      <c r="E9731" s="8">
        <v>249</v>
      </c>
    </row>
    <row r="9732" s="3" customFormat="1" ht="18.75" spans="1:5">
      <c r="A9732" s="8" t="str">
        <f t="shared" si="168"/>
        <v>250038</v>
      </c>
      <c r="B9732" s="8" t="str">
        <f>"2561409014407"</f>
        <v>2561409014407</v>
      </c>
      <c r="C9732" s="8" t="s">
        <v>15</v>
      </c>
      <c r="D9732" s="9">
        <v>0</v>
      </c>
      <c r="E9732" s="8">
        <v>249</v>
      </c>
    </row>
    <row r="9733" s="3" customFormat="1" ht="18.75" spans="1:5">
      <c r="A9733" s="8" t="str">
        <f t="shared" si="168"/>
        <v>250038</v>
      </c>
      <c r="B9733" s="8" t="str">
        <f>"2561409014411"</f>
        <v>2561409014411</v>
      </c>
      <c r="C9733" s="8" t="s">
        <v>15</v>
      </c>
      <c r="D9733" s="9">
        <v>0</v>
      </c>
      <c r="E9733" s="8">
        <v>249</v>
      </c>
    </row>
    <row r="9734" s="3" customFormat="1" ht="18.75" spans="1:5">
      <c r="A9734" s="8" t="str">
        <f t="shared" si="168"/>
        <v>250038</v>
      </c>
      <c r="B9734" s="8" t="str">
        <f>"2561409014412"</f>
        <v>2561409014412</v>
      </c>
      <c r="C9734" s="8" t="s">
        <v>15</v>
      </c>
      <c r="D9734" s="9">
        <v>0</v>
      </c>
      <c r="E9734" s="8">
        <v>249</v>
      </c>
    </row>
    <row r="9735" s="3" customFormat="1" ht="18.75" spans="1:5">
      <c r="A9735" s="8" t="str">
        <f t="shared" si="168"/>
        <v>250038</v>
      </c>
      <c r="B9735" s="8" t="str">
        <f>"2561409014416"</f>
        <v>2561409014416</v>
      </c>
      <c r="C9735" s="8" t="s">
        <v>15</v>
      </c>
      <c r="D9735" s="9">
        <v>0</v>
      </c>
      <c r="E9735" s="8">
        <v>249</v>
      </c>
    </row>
    <row r="9736" s="3" customFormat="1" ht="18.75" spans="1:5">
      <c r="A9736" s="8" t="str">
        <f t="shared" si="168"/>
        <v>250038</v>
      </c>
      <c r="B9736" s="8" t="str">
        <f>"2561409014422"</f>
        <v>2561409014422</v>
      </c>
      <c r="C9736" s="8" t="s">
        <v>15</v>
      </c>
      <c r="D9736" s="9">
        <v>0</v>
      </c>
      <c r="E9736" s="8">
        <v>249</v>
      </c>
    </row>
    <row r="9737" s="3" customFormat="1" ht="18.75" spans="1:5">
      <c r="A9737" s="8" t="str">
        <f t="shared" si="168"/>
        <v>250038</v>
      </c>
      <c r="B9737" s="8" t="str">
        <f>"2561409014428"</f>
        <v>2561409014428</v>
      </c>
      <c r="C9737" s="8" t="s">
        <v>15</v>
      </c>
      <c r="D9737" s="9">
        <v>0</v>
      </c>
      <c r="E9737" s="8">
        <v>249</v>
      </c>
    </row>
    <row r="9738" s="3" customFormat="1" ht="18.75" spans="1:5">
      <c r="A9738" s="8" t="str">
        <f t="shared" si="168"/>
        <v>250038</v>
      </c>
      <c r="B9738" s="8" t="str">
        <f>"2561409014429"</f>
        <v>2561409014429</v>
      </c>
      <c r="C9738" s="8" t="s">
        <v>15</v>
      </c>
      <c r="D9738" s="9">
        <v>0</v>
      </c>
      <c r="E9738" s="8">
        <v>249</v>
      </c>
    </row>
    <row r="9739" s="3" customFormat="1" ht="18.75" spans="1:5">
      <c r="A9739" s="8" t="str">
        <f t="shared" si="168"/>
        <v>250038</v>
      </c>
      <c r="B9739" s="8" t="str">
        <f>"2561409014430"</f>
        <v>2561409014430</v>
      </c>
      <c r="C9739" s="8" t="s">
        <v>15</v>
      </c>
      <c r="D9739" s="9">
        <v>0</v>
      </c>
      <c r="E9739" s="8">
        <v>249</v>
      </c>
    </row>
    <row r="9740" s="3" customFormat="1" ht="18.75" spans="1:5">
      <c r="A9740" s="8" t="str">
        <f t="shared" si="168"/>
        <v>250038</v>
      </c>
      <c r="B9740" s="8" t="str">
        <f>"2561409014502"</f>
        <v>2561409014502</v>
      </c>
      <c r="C9740" s="8" t="s">
        <v>15</v>
      </c>
      <c r="D9740" s="9">
        <v>0</v>
      </c>
      <c r="E9740" s="8">
        <v>249</v>
      </c>
    </row>
    <row r="9741" s="3" customFormat="1" ht="18.75" spans="1:5">
      <c r="A9741" s="8" t="str">
        <f t="shared" si="168"/>
        <v>250038</v>
      </c>
      <c r="B9741" s="8" t="str">
        <f>"2561409014508"</f>
        <v>2561409014508</v>
      </c>
      <c r="C9741" s="8" t="s">
        <v>15</v>
      </c>
      <c r="D9741" s="9">
        <v>0</v>
      </c>
      <c r="E9741" s="8">
        <v>249</v>
      </c>
    </row>
    <row r="9742" s="3" customFormat="1" ht="18.75" spans="1:5">
      <c r="A9742" s="8" t="str">
        <f t="shared" si="168"/>
        <v>250038</v>
      </c>
      <c r="B9742" s="8" t="str">
        <f>"2561409014513"</f>
        <v>2561409014513</v>
      </c>
      <c r="C9742" s="8" t="s">
        <v>15</v>
      </c>
      <c r="D9742" s="9">
        <v>0</v>
      </c>
      <c r="E9742" s="8">
        <v>249</v>
      </c>
    </row>
    <row r="9743" s="3" customFormat="1" ht="18.75" spans="1:5">
      <c r="A9743" s="8" t="str">
        <f t="shared" si="168"/>
        <v>250038</v>
      </c>
      <c r="B9743" s="8" t="str">
        <f>"2561409014520"</f>
        <v>2561409014520</v>
      </c>
      <c r="C9743" s="8" t="s">
        <v>15</v>
      </c>
      <c r="D9743" s="9">
        <v>0</v>
      </c>
      <c r="E9743" s="8">
        <v>249</v>
      </c>
    </row>
    <row r="9744" s="3" customFormat="1" ht="18.75" spans="1:5">
      <c r="A9744" s="8" t="str">
        <f t="shared" si="168"/>
        <v>250038</v>
      </c>
      <c r="B9744" s="8" t="str">
        <f>"2561409014522"</f>
        <v>2561409014522</v>
      </c>
      <c r="C9744" s="8" t="s">
        <v>15</v>
      </c>
      <c r="D9744" s="9">
        <v>0</v>
      </c>
      <c r="E9744" s="8">
        <v>249</v>
      </c>
    </row>
    <row r="9745" s="3" customFormat="1" ht="18.75" spans="1:5">
      <c r="A9745" s="8" t="str">
        <f t="shared" si="168"/>
        <v>250038</v>
      </c>
      <c r="B9745" s="8" t="str">
        <f>"2561409014524"</f>
        <v>2561409014524</v>
      </c>
      <c r="C9745" s="8" t="s">
        <v>15</v>
      </c>
      <c r="D9745" s="9">
        <v>0</v>
      </c>
      <c r="E9745" s="8">
        <v>249</v>
      </c>
    </row>
    <row r="9746" s="3" customFormat="1" ht="18.75" spans="1:5">
      <c r="A9746" s="8" t="str">
        <f t="shared" si="168"/>
        <v>250038</v>
      </c>
      <c r="B9746" s="8" t="str">
        <f>"2561409014525"</f>
        <v>2561409014525</v>
      </c>
      <c r="C9746" s="8" t="s">
        <v>15</v>
      </c>
      <c r="D9746" s="9">
        <v>0</v>
      </c>
      <c r="E9746" s="8">
        <v>249</v>
      </c>
    </row>
    <row r="9747" s="3" customFormat="1" ht="18.75" spans="1:5">
      <c r="A9747" s="8" t="str">
        <f t="shared" si="168"/>
        <v>250038</v>
      </c>
      <c r="B9747" s="8" t="str">
        <f>"2561409014526"</f>
        <v>2561409014526</v>
      </c>
      <c r="C9747" s="8" t="s">
        <v>15</v>
      </c>
      <c r="D9747" s="9">
        <v>0</v>
      </c>
      <c r="E9747" s="8">
        <v>249</v>
      </c>
    </row>
    <row r="9748" s="3" customFormat="1" ht="18.75" spans="1:5">
      <c r="A9748" s="8" t="str">
        <f t="shared" si="168"/>
        <v>250038</v>
      </c>
      <c r="B9748" s="8" t="str">
        <f>"2561409014527"</f>
        <v>2561409014527</v>
      </c>
      <c r="C9748" s="8" t="s">
        <v>15</v>
      </c>
      <c r="D9748" s="9">
        <v>0</v>
      </c>
      <c r="E9748" s="8">
        <v>249</v>
      </c>
    </row>
    <row r="9749" s="3" customFormat="1" ht="18.75" spans="1:5">
      <c r="A9749" s="8" t="str">
        <f t="shared" si="168"/>
        <v>250038</v>
      </c>
      <c r="B9749" s="8" t="str">
        <f>"2561409014528"</f>
        <v>2561409014528</v>
      </c>
      <c r="C9749" s="8" t="s">
        <v>15</v>
      </c>
      <c r="D9749" s="9">
        <v>0</v>
      </c>
      <c r="E9749" s="8">
        <v>249</v>
      </c>
    </row>
    <row r="9750" s="3" customFormat="1" ht="18.75" spans="1:5">
      <c r="A9750" s="8" t="str">
        <f t="shared" si="168"/>
        <v>250038</v>
      </c>
      <c r="B9750" s="8" t="str">
        <f>"2561409014601"</f>
        <v>2561409014601</v>
      </c>
      <c r="C9750" s="8" t="s">
        <v>15</v>
      </c>
      <c r="D9750" s="9">
        <v>0</v>
      </c>
      <c r="E9750" s="8">
        <v>249</v>
      </c>
    </row>
    <row r="9751" s="3" customFormat="1" ht="18.75" spans="1:5">
      <c r="A9751" s="8" t="str">
        <f t="shared" si="168"/>
        <v>250038</v>
      </c>
      <c r="B9751" s="8" t="str">
        <f>"2561409014602"</f>
        <v>2561409014602</v>
      </c>
      <c r="C9751" s="8" t="s">
        <v>15</v>
      </c>
      <c r="D9751" s="9">
        <v>0</v>
      </c>
      <c r="E9751" s="8">
        <v>249</v>
      </c>
    </row>
    <row r="9752" s="3" customFormat="1" ht="18.75" spans="1:5">
      <c r="A9752" s="8" t="str">
        <f t="shared" si="168"/>
        <v>250038</v>
      </c>
      <c r="B9752" s="8" t="str">
        <f>"2561409014604"</f>
        <v>2561409014604</v>
      </c>
      <c r="C9752" s="8" t="s">
        <v>15</v>
      </c>
      <c r="D9752" s="9">
        <v>0</v>
      </c>
      <c r="E9752" s="8">
        <v>249</v>
      </c>
    </row>
    <row r="9753" s="3" customFormat="1" ht="18.75" spans="1:5">
      <c r="A9753" s="8" t="str">
        <f t="shared" si="168"/>
        <v>250038</v>
      </c>
      <c r="B9753" s="8" t="str">
        <f>"2561409014605"</f>
        <v>2561409014605</v>
      </c>
      <c r="C9753" s="8" t="s">
        <v>15</v>
      </c>
      <c r="D9753" s="9">
        <v>0</v>
      </c>
      <c r="E9753" s="8">
        <v>249</v>
      </c>
    </row>
    <row r="9754" s="3" customFormat="1" ht="18.75" spans="1:5">
      <c r="A9754" s="8" t="str">
        <f t="shared" si="168"/>
        <v>250038</v>
      </c>
      <c r="B9754" s="8" t="str">
        <f>"2561409014607"</f>
        <v>2561409014607</v>
      </c>
      <c r="C9754" s="8" t="s">
        <v>15</v>
      </c>
      <c r="D9754" s="9">
        <v>0</v>
      </c>
      <c r="E9754" s="8">
        <v>249</v>
      </c>
    </row>
    <row r="9755" s="3" customFormat="1" ht="18.75" spans="1:5">
      <c r="A9755" s="8" t="str">
        <f t="shared" si="168"/>
        <v>250038</v>
      </c>
      <c r="B9755" s="8" t="str">
        <f>"2561409014608"</f>
        <v>2561409014608</v>
      </c>
      <c r="C9755" s="8" t="s">
        <v>15</v>
      </c>
      <c r="D9755" s="9">
        <v>0</v>
      </c>
      <c r="E9755" s="8">
        <v>249</v>
      </c>
    </row>
    <row r="9756" s="3" customFormat="1" ht="18.75" spans="1:5">
      <c r="A9756" s="8" t="str">
        <f t="shared" si="168"/>
        <v>250038</v>
      </c>
      <c r="B9756" s="8" t="str">
        <f>"2561409014610"</f>
        <v>2561409014610</v>
      </c>
      <c r="C9756" s="8" t="s">
        <v>15</v>
      </c>
      <c r="D9756" s="9">
        <v>0</v>
      </c>
      <c r="E9756" s="8">
        <v>249</v>
      </c>
    </row>
    <row r="9757" s="3" customFormat="1" ht="18.75" spans="1:5">
      <c r="A9757" s="8" t="str">
        <f t="shared" si="168"/>
        <v>250038</v>
      </c>
      <c r="B9757" s="8" t="str">
        <f>"2561409014611"</f>
        <v>2561409014611</v>
      </c>
      <c r="C9757" s="8" t="s">
        <v>15</v>
      </c>
      <c r="D9757" s="9">
        <v>0</v>
      </c>
      <c r="E9757" s="8">
        <v>249</v>
      </c>
    </row>
    <row r="9758" s="3" customFormat="1" ht="18.75" spans="1:5">
      <c r="A9758" s="8" t="str">
        <f t="shared" si="168"/>
        <v>250038</v>
      </c>
      <c r="B9758" s="8" t="str">
        <f>"2561409014614"</f>
        <v>2561409014614</v>
      </c>
      <c r="C9758" s="8" t="s">
        <v>15</v>
      </c>
      <c r="D9758" s="9">
        <v>0</v>
      </c>
      <c r="E9758" s="8">
        <v>249</v>
      </c>
    </row>
    <row r="9759" s="3" customFormat="1" ht="18.75" spans="1:5">
      <c r="A9759" s="8" t="str">
        <f t="shared" si="168"/>
        <v>250038</v>
      </c>
      <c r="B9759" s="8" t="str">
        <f>"2561409014617"</f>
        <v>2561409014617</v>
      </c>
      <c r="C9759" s="8" t="s">
        <v>15</v>
      </c>
      <c r="D9759" s="9">
        <v>0</v>
      </c>
      <c r="E9759" s="8">
        <v>249</v>
      </c>
    </row>
    <row r="9760" s="3" customFormat="1" ht="18.75" spans="1:5">
      <c r="A9760" s="8" t="str">
        <f t="shared" si="168"/>
        <v>250038</v>
      </c>
      <c r="B9760" s="8" t="str">
        <f>"2561409014618"</f>
        <v>2561409014618</v>
      </c>
      <c r="C9760" s="8" t="s">
        <v>15</v>
      </c>
      <c r="D9760" s="9">
        <v>0</v>
      </c>
      <c r="E9760" s="8">
        <v>249</v>
      </c>
    </row>
    <row r="9761" s="3" customFormat="1" ht="18.75" spans="1:5">
      <c r="A9761" s="8" t="str">
        <f t="shared" si="168"/>
        <v>250038</v>
      </c>
      <c r="B9761" s="8" t="str">
        <f>"2561409014626"</f>
        <v>2561409014626</v>
      </c>
      <c r="C9761" s="8" t="s">
        <v>15</v>
      </c>
      <c r="D9761" s="9">
        <v>0</v>
      </c>
      <c r="E9761" s="8">
        <v>249</v>
      </c>
    </row>
    <row r="9762" s="3" customFormat="1" ht="18.75" spans="1:5">
      <c r="A9762" s="8" t="str">
        <f t="shared" si="168"/>
        <v>250038</v>
      </c>
      <c r="B9762" s="8" t="str">
        <f>"2561409014630"</f>
        <v>2561409014630</v>
      </c>
      <c r="C9762" s="8" t="s">
        <v>15</v>
      </c>
      <c r="D9762" s="9">
        <v>0</v>
      </c>
      <c r="E9762" s="8">
        <v>249</v>
      </c>
    </row>
    <row r="9763" s="3" customFormat="1" ht="18.75" spans="1:5">
      <c r="A9763" s="8" t="str">
        <f t="shared" si="168"/>
        <v>250038</v>
      </c>
      <c r="B9763" s="8" t="str">
        <f>"2561409014701"</f>
        <v>2561409014701</v>
      </c>
      <c r="C9763" s="8" t="s">
        <v>15</v>
      </c>
      <c r="D9763" s="9">
        <v>0</v>
      </c>
      <c r="E9763" s="8">
        <v>249</v>
      </c>
    </row>
    <row r="9764" s="3" customFormat="1" ht="18.75" spans="1:5">
      <c r="A9764" s="8" t="str">
        <f t="shared" si="168"/>
        <v>250038</v>
      </c>
      <c r="B9764" s="8" t="str">
        <f>"2561409014702"</f>
        <v>2561409014702</v>
      </c>
      <c r="C9764" s="8" t="s">
        <v>15</v>
      </c>
      <c r="D9764" s="9">
        <v>0</v>
      </c>
      <c r="E9764" s="8">
        <v>249</v>
      </c>
    </row>
    <row r="9765" s="3" customFormat="1" ht="18.75" spans="1:5">
      <c r="A9765" s="8" t="str">
        <f t="shared" si="168"/>
        <v>250038</v>
      </c>
      <c r="B9765" s="8" t="str">
        <f>"2561409014703"</f>
        <v>2561409014703</v>
      </c>
      <c r="C9765" s="8" t="s">
        <v>15</v>
      </c>
      <c r="D9765" s="9">
        <v>0</v>
      </c>
      <c r="E9765" s="8">
        <v>249</v>
      </c>
    </row>
    <row r="9766" s="3" customFormat="1" ht="18.75" spans="1:5">
      <c r="A9766" s="8" t="str">
        <f t="shared" ref="A9766:A9829" si="169">"250038"</f>
        <v>250038</v>
      </c>
      <c r="B9766" s="8" t="str">
        <f>"2561409014706"</f>
        <v>2561409014706</v>
      </c>
      <c r="C9766" s="8" t="s">
        <v>15</v>
      </c>
      <c r="D9766" s="9">
        <v>0</v>
      </c>
      <c r="E9766" s="8">
        <v>249</v>
      </c>
    </row>
    <row r="9767" s="3" customFormat="1" ht="18.75" spans="1:5">
      <c r="A9767" s="8" t="str">
        <f t="shared" si="169"/>
        <v>250038</v>
      </c>
      <c r="B9767" s="8" t="str">
        <f>"2561409014708"</f>
        <v>2561409014708</v>
      </c>
      <c r="C9767" s="8" t="s">
        <v>15</v>
      </c>
      <c r="D9767" s="9">
        <v>0</v>
      </c>
      <c r="E9767" s="8">
        <v>249</v>
      </c>
    </row>
    <row r="9768" s="3" customFormat="1" ht="18.75" spans="1:5">
      <c r="A9768" s="8" t="str">
        <f t="shared" si="169"/>
        <v>250038</v>
      </c>
      <c r="B9768" s="8" t="str">
        <f>"2561409014709"</f>
        <v>2561409014709</v>
      </c>
      <c r="C9768" s="8" t="s">
        <v>15</v>
      </c>
      <c r="D9768" s="9">
        <v>0</v>
      </c>
      <c r="E9768" s="8">
        <v>249</v>
      </c>
    </row>
    <row r="9769" s="3" customFormat="1" ht="18.75" spans="1:5">
      <c r="A9769" s="8" t="str">
        <f t="shared" si="169"/>
        <v>250038</v>
      </c>
      <c r="B9769" s="8" t="str">
        <f>"2561409014713"</f>
        <v>2561409014713</v>
      </c>
      <c r="C9769" s="8" t="s">
        <v>15</v>
      </c>
      <c r="D9769" s="9">
        <v>0</v>
      </c>
      <c r="E9769" s="8">
        <v>249</v>
      </c>
    </row>
    <row r="9770" s="3" customFormat="1" ht="18.75" spans="1:5">
      <c r="A9770" s="8" t="str">
        <f t="shared" si="169"/>
        <v>250038</v>
      </c>
      <c r="B9770" s="8" t="str">
        <f>"2561409014718"</f>
        <v>2561409014718</v>
      </c>
      <c r="C9770" s="8" t="s">
        <v>15</v>
      </c>
      <c r="D9770" s="9">
        <v>0</v>
      </c>
      <c r="E9770" s="8">
        <v>249</v>
      </c>
    </row>
    <row r="9771" s="3" customFormat="1" ht="18.75" spans="1:5">
      <c r="A9771" s="8" t="str">
        <f t="shared" si="169"/>
        <v>250038</v>
      </c>
      <c r="B9771" s="8" t="str">
        <f>"2561409014719"</f>
        <v>2561409014719</v>
      </c>
      <c r="C9771" s="8" t="s">
        <v>15</v>
      </c>
      <c r="D9771" s="9">
        <v>0</v>
      </c>
      <c r="E9771" s="8">
        <v>249</v>
      </c>
    </row>
    <row r="9772" s="3" customFormat="1" ht="18.75" spans="1:5">
      <c r="A9772" s="8" t="str">
        <f t="shared" si="169"/>
        <v>250038</v>
      </c>
      <c r="B9772" s="8" t="str">
        <f>"2561409014720"</f>
        <v>2561409014720</v>
      </c>
      <c r="C9772" s="8" t="s">
        <v>15</v>
      </c>
      <c r="D9772" s="9">
        <v>0</v>
      </c>
      <c r="E9772" s="8">
        <v>249</v>
      </c>
    </row>
    <row r="9773" s="3" customFormat="1" ht="18.75" spans="1:5">
      <c r="A9773" s="8" t="str">
        <f t="shared" si="169"/>
        <v>250038</v>
      </c>
      <c r="B9773" s="8" t="str">
        <f>"2561409014723"</f>
        <v>2561409014723</v>
      </c>
      <c r="C9773" s="8" t="s">
        <v>15</v>
      </c>
      <c r="D9773" s="9">
        <v>0</v>
      </c>
      <c r="E9773" s="8">
        <v>249</v>
      </c>
    </row>
    <row r="9774" s="3" customFormat="1" ht="18.75" spans="1:5">
      <c r="A9774" s="8" t="str">
        <f t="shared" si="169"/>
        <v>250038</v>
      </c>
      <c r="B9774" s="8" t="str">
        <f>"2561409014725"</f>
        <v>2561409014725</v>
      </c>
      <c r="C9774" s="8" t="s">
        <v>15</v>
      </c>
      <c r="D9774" s="9">
        <v>0</v>
      </c>
      <c r="E9774" s="8">
        <v>249</v>
      </c>
    </row>
    <row r="9775" s="3" customFormat="1" ht="18.75" spans="1:5">
      <c r="A9775" s="8" t="str">
        <f t="shared" si="169"/>
        <v>250038</v>
      </c>
      <c r="B9775" s="8" t="str">
        <f>"2561409014727"</f>
        <v>2561409014727</v>
      </c>
      <c r="C9775" s="8" t="s">
        <v>15</v>
      </c>
      <c r="D9775" s="9">
        <v>0</v>
      </c>
      <c r="E9775" s="8">
        <v>249</v>
      </c>
    </row>
    <row r="9776" s="3" customFormat="1" ht="18.75" spans="1:5">
      <c r="A9776" s="8" t="str">
        <f t="shared" si="169"/>
        <v>250038</v>
      </c>
      <c r="B9776" s="8" t="str">
        <f>"2561409014728"</f>
        <v>2561409014728</v>
      </c>
      <c r="C9776" s="8" t="s">
        <v>15</v>
      </c>
      <c r="D9776" s="9">
        <v>0</v>
      </c>
      <c r="E9776" s="8">
        <v>249</v>
      </c>
    </row>
    <row r="9777" s="3" customFormat="1" ht="18.75" spans="1:5">
      <c r="A9777" s="8" t="str">
        <f t="shared" si="169"/>
        <v>250038</v>
      </c>
      <c r="B9777" s="8" t="str">
        <f>"2561409014801"</f>
        <v>2561409014801</v>
      </c>
      <c r="C9777" s="8" t="s">
        <v>15</v>
      </c>
      <c r="D9777" s="9">
        <v>0</v>
      </c>
      <c r="E9777" s="8">
        <v>249</v>
      </c>
    </row>
    <row r="9778" s="3" customFormat="1" ht="18.75" spans="1:5">
      <c r="A9778" s="8" t="str">
        <f t="shared" si="169"/>
        <v>250038</v>
      </c>
      <c r="B9778" s="8" t="str">
        <f>"2561409014802"</f>
        <v>2561409014802</v>
      </c>
      <c r="C9778" s="8" t="s">
        <v>15</v>
      </c>
      <c r="D9778" s="9">
        <v>0</v>
      </c>
      <c r="E9778" s="8">
        <v>249</v>
      </c>
    </row>
    <row r="9779" s="3" customFormat="1" ht="18.75" spans="1:5">
      <c r="A9779" s="8" t="str">
        <f t="shared" si="169"/>
        <v>250038</v>
      </c>
      <c r="B9779" s="8" t="str">
        <f>"2561409014803"</f>
        <v>2561409014803</v>
      </c>
      <c r="C9779" s="8" t="s">
        <v>15</v>
      </c>
      <c r="D9779" s="9">
        <v>0</v>
      </c>
      <c r="E9779" s="8">
        <v>249</v>
      </c>
    </row>
    <row r="9780" s="3" customFormat="1" ht="18.75" spans="1:5">
      <c r="A9780" s="8" t="str">
        <f t="shared" si="169"/>
        <v>250038</v>
      </c>
      <c r="B9780" s="8" t="str">
        <f>"2561409014805"</f>
        <v>2561409014805</v>
      </c>
      <c r="C9780" s="8" t="s">
        <v>15</v>
      </c>
      <c r="D9780" s="9">
        <v>0</v>
      </c>
      <c r="E9780" s="8">
        <v>249</v>
      </c>
    </row>
    <row r="9781" s="3" customFormat="1" ht="18.75" spans="1:5">
      <c r="A9781" s="8" t="str">
        <f t="shared" si="169"/>
        <v>250038</v>
      </c>
      <c r="B9781" s="8" t="str">
        <f>"2561409014811"</f>
        <v>2561409014811</v>
      </c>
      <c r="C9781" s="8" t="s">
        <v>15</v>
      </c>
      <c r="D9781" s="9">
        <v>0</v>
      </c>
      <c r="E9781" s="8">
        <v>249</v>
      </c>
    </row>
    <row r="9782" s="3" customFormat="1" ht="18.75" spans="1:5">
      <c r="A9782" s="8" t="str">
        <f t="shared" si="169"/>
        <v>250038</v>
      </c>
      <c r="B9782" s="8" t="str">
        <f>"2561409014812"</f>
        <v>2561409014812</v>
      </c>
      <c r="C9782" s="8" t="s">
        <v>15</v>
      </c>
      <c r="D9782" s="9">
        <v>0</v>
      </c>
      <c r="E9782" s="8">
        <v>249</v>
      </c>
    </row>
    <row r="9783" s="3" customFormat="1" ht="18.75" spans="1:5">
      <c r="A9783" s="8" t="str">
        <f t="shared" si="169"/>
        <v>250038</v>
      </c>
      <c r="B9783" s="8" t="str">
        <f>"2561409014813"</f>
        <v>2561409014813</v>
      </c>
      <c r="C9783" s="8" t="s">
        <v>15</v>
      </c>
      <c r="D9783" s="9">
        <v>0</v>
      </c>
      <c r="E9783" s="8">
        <v>249</v>
      </c>
    </row>
    <row r="9784" s="3" customFormat="1" ht="18.75" spans="1:5">
      <c r="A9784" s="8" t="str">
        <f t="shared" si="169"/>
        <v>250038</v>
      </c>
      <c r="B9784" s="8" t="str">
        <f>"2561409014816"</f>
        <v>2561409014816</v>
      </c>
      <c r="C9784" s="8" t="s">
        <v>15</v>
      </c>
      <c r="D9784" s="9">
        <v>0</v>
      </c>
      <c r="E9784" s="8">
        <v>249</v>
      </c>
    </row>
    <row r="9785" s="3" customFormat="1" ht="18.75" spans="1:5">
      <c r="A9785" s="8" t="str">
        <f t="shared" si="169"/>
        <v>250038</v>
      </c>
      <c r="B9785" s="8" t="str">
        <f>"2561409014818"</f>
        <v>2561409014818</v>
      </c>
      <c r="C9785" s="8" t="s">
        <v>15</v>
      </c>
      <c r="D9785" s="9">
        <v>0</v>
      </c>
      <c r="E9785" s="8">
        <v>249</v>
      </c>
    </row>
    <row r="9786" s="3" customFormat="1" ht="18.75" spans="1:5">
      <c r="A9786" s="8" t="str">
        <f t="shared" si="169"/>
        <v>250038</v>
      </c>
      <c r="B9786" s="8" t="str">
        <f>"2561409014821"</f>
        <v>2561409014821</v>
      </c>
      <c r="C9786" s="8" t="s">
        <v>15</v>
      </c>
      <c r="D9786" s="9">
        <v>0</v>
      </c>
      <c r="E9786" s="8">
        <v>249</v>
      </c>
    </row>
    <row r="9787" s="3" customFormat="1" ht="18.75" spans="1:5">
      <c r="A9787" s="8" t="str">
        <f t="shared" si="169"/>
        <v>250038</v>
      </c>
      <c r="B9787" s="8" t="str">
        <f>"2561409014822"</f>
        <v>2561409014822</v>
      </c>
      <c r="C9787" s="8" t="s">
        <v>15</v>
      </c>
      <c r="D9787" s="9">
        <v>0</v>
      </c>
      <c r="E9787" s="8">
        <v>249</v>
      </c>
    </row>
    <row r="9788" s="3" customFormat="1" ht="18.75" spans="1:5">
      <c r="A9788" s="8" t="str">
        <f t="shared" si="169"/>
        <v>250038</v>
      </c>
      <c r="B9788" s="8" t="str">
        <f>"2561409014823"</f>
        <v>2561409014823</v>
      </c>
      <c r="C9788" s="8" t="s">
        <v>15</v>
      </c>
      <c r="D9788" s="9">
        <v>0</v>
      </c>
      <c r="E9788" s="8">
        <v>249</v>
      </c>
    </row>
    <row r="9789" s="3" customFormat="1" ht="18.75" spans="1:5">
      <c r="A9789" s="8" t="str">
        <f t="shared" si="169"/>
        <v>250038</v>
      </c>
      <c r="B9789" s="8" t="str">
        <f>"2561409014830"</f>
        <v>2561409014830</v>
      </c>
      <c r="C9789" s="8" t="s">
        <v>15</v>
      </c>
      <c r="D9789" s="9">
        <v>0</v>
      </c>
      <c r="E9789" s="8">
        <v>249</v>
      </c>
    </row>
    <row r="9790" s="3" customFormat="1" ht="18.75" spans="1:5">
      <c r="A9790" s="8" t="str">
        <f t="shared" si="169"/>
        <v>250038</v>
      </c>
      <c r="B9790" s="8" t="str">
        <f>"2561409014902"</f>
        <v>2561409014902</v>
      </c>
      <c r="C9790" s="8" t="s">
        <v>15</v>
      </c>
      <c r="D9790" s="9">
        <v>0</v>
      </c>
      <c r="E9790" s="8">
        <v>249</v>
      </c>
    </row>
    <row r="9791" s="3" customFormat="1" ht="18.75" spans="1:5">
      <c r="A9791" s="8" t="str">
        <f t="shared" si="169"/>
        <v>250038</v>
      </c>
      <c r="B9791" s="8" t="str">
        <f>"2561409014905"</f>
        <v>2561409014905</v>
      </c>
      <c r="C9791" s="8" t="s">
        <v>15</v>
      </c>
      <c r="D9791" s="9">
        <v>0</v>
      </c>
      <c r="E9791" s="8">
        <v>249</v>
      </c>
    </row>
    <row r="9792" s="3" customFormat="1" ht="18.75" spans="1:5">
      <c r="A9792" s="8" t="str">
        <f t="shared" si="169"/>
        <v>250038</v>
      </c>
      <c r="B9792" s="8" t="str">
        <f>"2561409014910"</f>
        <v>2561409014910</v>
      </c>
      <c r="C9792" s="8" t="s">
        <v>15</v>
      </c>
      <c r="D9792" s="9">
        <v>0</v>
      </c>
      <c r="E9792" s="8">
        <v>249</v>
      </c>
    </row>
    <row r="9793" s="3" customFormat="1" ht="18.75" spans="1:5">
      <c r="A9793" s="8" t="str">
        <f t="shared" si="169"/>
        <v>250038</v>
      </c>
      <c r="B9793" s="8" t="str">
        <f>"2561409014917"</f>
        <v>2561409014917</v>
      </c>
      <c r="C9793" s="8" t="s">
        <v>15</v>
      </c>
      <c r="D9793" s="9">
        <v>0</v>
      </c>
      <c r="E9793" s="8">
        <v>249</v>
      </c>
    </row>
    <row r="9794" s="3" customFormat="1" ht="18.75" spans="1:5">
      <c r="A9794" s="8" t="str">
        <f t="shared" si="169"/>
        <v>250038</v>
      </c>
      <c r="B9794" s="8" t="str">
        <f>"2561409014920"</f>
        <v>2561409014920</v>
      </c>
      <c r="C9794" s="8" t="s">
        <v>15</v>
      </c>
      <c r="D9794" s="9">
        <v>0</v>
      </c>
      <c r="E9794" s="8">
        <v>249</v>
      </c>
    </row>
    <row r="9795" s="3" customFormat="1" ht="18.75" spans="1:5">
      <c r="A9795" s="8" t="str">
        <f t="shared" si="169"/>
        <v>250038</v>
      </c>
      <c r="B9795" s="8" t="str">
        <f>"2561409014921"</f>
        <v>2561409014921</v>
      </c>
      <c r="C9795" s="8" t="s">
        <v>15</v>
      </c>
      <c r="D9795" s="9">
        <v>0</v>
      </c>
      <c r="E9795" s="8">
        <v>249</v>
      </c>
    </row>
    <row r="9796" s="3" customFormat="1" ht="18.75" spans="1:5">
      <c r="A9796" s="8" t="str">
        <f t="shared" si="169"/>
        <v>250038</v>
      </c>
      <c r="B9796" s="8" t="str">
        <f>"2561409014925"</f>
        <v>2561409014925</v>
      </c>
      <c r="C9796" s="8" t="s">
        <v>15</v>
      </c>
      <c r="D9796" s="9">
        <v>0</v>
      </c>
      <c r="E9796" s="8">
        <v>249</v>
      </c>
    </row>
    <row r="9797" s="3" customFormat="1" ht="18.75" spans="1:5">
      <c r="A9797" s="8" t="str">
        <f t="shared" si="169"/>
        <v>250038</v>
      </c>
      <c r="B9797" s="8" t="str">
        <f>"2561409014930"</f>
        <v>2561409014930</v>
      </c>
      <c r="C9797" s="8" t="s">
        <v>15</v>
      </c>
      <c r="D9797" s="9">
        <v>0</v>
      </c>
      <c r="E9797" s="8">
        <v>249</v>
      </c>
    </row>
    <row r="9798" s="3" customFormat="1" ht="18.75" spans="1:5">
      <c r="A9798" s="8" t="str">
        <f t="shared" si="169"/>
        <v>250038</v>
      </c>
      <c r="B9798" s="8" t="str">
        <f>"2561409015001"</f>
        <v>2561409015001</v>
      </c>
      <c r="C9798" s="8" t="s">
        <v>15</v>
      </c>
      <c r="D9798" s="9">
        <v>0</v>
      </c>
      <c r="E9798" s="8">
        <v>249</v>
      </c>
    </row>
    <row r="9799" s="3" customFormat="1" ht="18.75" spans="1:5">
      <c r="A9799" s="8" t="str">
        <f t="shared" si="169"/>
        <v>250038</v>
      </c>
      <c r="B9799" s="8" t="str">
        <f>"2561409015004"</f>
        <v>2561409015004</v>
      </c>
      <c r="C9799" s="8" t="s">
        <v>15</v>
      </c>
      <c r="D9799" s="9">
        <v>0</v>
      </c>
      <c r="E9799" s="8">
        <v>249</v>
      </c>
    </row>
    <row r="9800" s="3" customFormat="1" ht="18.75" spans="1:5">
      <c r="A9800" s="8" t="str">
        <f t="shared" si="169"/>
        <v>250038</v>
      </c>
      <c r="B9800" s="8" t="str">
        <f>"2561409015010"</f>
        <v>2561409015010</v>
      </c>
      <c r="C9800" s="8" t="s">
        <v>15</v>
      </c>
      <c r="D9800" s="9">
        <v>0</v>
      </c>
      <c r="E9800" s="8">
        <v>249</v>
      </c>
    </row>
    <row r="9801" s="3" customFormat="1" ht="18.75" spans="1:5">
      <c r="A9801" s="8" t="str">
        <f t="shared" si="169"/>
        <v>250038</v>
      </c>
      <c r="B9801" s="8" t="str">
        <f>"2561409015012"</f>
        <v>2561409015012</v>
      </c>
      <c r="C9801" s="8" t="s">
        <v>15</v>
      </c>
      <c r="D9801" s="9">
        <v>0</v>
      </c>
      <c r="E9801" s="8">
        <v>249</v>
      </c>
    </row>
    <row r="9802" s="3" customFormat="1" ht="18.75" spans="1:5">
      <c r="A9802" s="8" t="str">
        <f t="shared" si="169"/>
        <v>250038</v>
      </c>
      <c r="B9802" s="8" t="str">
        <f>"2561409015014"</f>
        <v>2561409015014</v>
      </c>
      <c r="C9802" s="8" t="s">
        <v>15</v>
      </c>
      <c r="D9802" s="9">
        <v>0</v>
      </c>
      <c r="E9802" s="8">
        <v>249</v>
      </c>
    </row>
    <row r="9803" s="3" customFormat="1" ht="18.75" spans="1:5">
      <c r="A9803" s="8" t="str">
        <f t="shared" si="169"/>
        <v>250038</v>
      </c>
      <c r="B9803" s="8" t="str">
        <f>"2561409015015"</f>
        <v>2561409015015</v>
      </c>
      <c r="C9803" s="8" t="s">
        <v>15</v>
      </c>
      <c r="D9803" s="9">
        <v>0</v>
      </c>
      <c r="E9803" s="8">
        <v>249</v>
      </c>
    </row>
    <row r="9804" s="3" customFormat="1" ht="18.75" spans="1:5">
      <c r="A9804" s="8" t="str">
        <f t="shared" si="169"/>
        <v>250038</v>
      </c>
      <c r="B9804" s="8" t="str">
        <f>"2561409015018"</f>
        <v>2561409015018</v>
      </c>
      <c r="C9804" s="8" t="s">
        <v>15</v>
      </c>
      <c r="D9804" s="9">
        <v>0</v>
      </c>
      <c r="E9804" s="8">
        <v>249</v>
      </c>
    </row>
    <row r="9805" s="3" customFormat="1" ht="18.75" spans="1:5">
      <c r="A9805" s="8" t="str">
        <f t="shared" si="169"/>
        <v>250038</v>
      </c>
      <c r="B9805" s="8" t="str">
        <f>"2561409015020"</f>
        <v>2561409015020</v>
      </c>
      <c r="C9805" s="8" t="s">
        <v>15</v>
      </c>
      <c r="D9805" s="9">
        <v>0</v>
      </c>
      <c r="E9805" s="8">
        <v>249</v>
      </c>
    </row>
    <row r="9806" s="3" customFormat="1" ht="18.75" spans="1:5">
      <c r="A9806" s="8" t="str">
        <f t="shared" si="169"/>
        <v>250038</v>
      </c>
      <c r="B9806" s="8" t="str">
        <f>"2561409015028"</f>
        <v>2561409015028</v>
      </c>
      <c r="C9806" s="8" t="s">
        <v>15</v>
      </c>
      <c r="D9806" s="9">
        <v>0</v>
      </c>
      <c r="E9806" s="8">
        <v>249</v>
      </c>
    </row>
    <row r="9807" s="3" customFormat="1" ht="18.75" spans="1:5">
      <c r="A9807" s="8" t="str">
        <f t="shared" si="169"/>
        <v>250038</v>
      </c>
      <c r="B9807" s="8" t="str">
        <f>"2561409015104"</f>
        <v>2561409015104</v>
      </c>
      <c r="C9807" s="8" t="s">
        <v>15</v>
      </c>
      <c r="D9807" s="9">
        <v>0</v>
      </c>
      <c r="E9807" s="8">
        <v>249</v>
      </c>
    </row>
    <row r="9808" s="3" customFormat="1" ht="18.75" spans="1:5">
      <c r="A9808" s="8" t="str">
        <f t="shared" si="169"/>
        <v>250038</v>
      </c>
      <c r="B9808" s="8" t="str">
        <f>"2561409015105"</f>
        <v>2561409015105</v>
      </c>
      <c r="C9808" s="8" t="s">
        <v>15</v>
      </c>
      <c r="D9808" s="9">
        <v>0</v>
      </c>
      <c r="E9808" s="8">
        <v>249</v>
      </c>
    </row>
    <row r="9809" s="3" customFormat="1" ht="18.75" spans="1:5">
      <c r="A9809" s="8" t="str">
        <f t="shared" si="169"/>
        <v>250038</v>
      </c>
      <c r="B9809" s="8" t="str">
        <f>"2561409015106"</f>
        <v>2561409015106</v>
      </c>
      <c r="C9809" s="8" t="s">
        <v>15</v>
      </c>
      <c r="D9809" s="9">
        <v>0</v>
      </c>
      <c r="E9809" s="8">
        <v>249</v>
      </c>
    </row>
    <row r="9810" s="3" customFormat="1" ht="18.75" spans="1:5">
      <c r="A9810" s="8" t="str">
        <f t="shared" si="169"/>
        <v>250038</v>
      </c>
      <c r="B9810" s="8" t="str">
        <f>"2561409015109"</f>
        <v>2561409015109</v>
      </c>
      <c r="C9810" s="8" t="s">
        <v>15</v>
      </c>
      <c r="D9810" s="9">
        <v>0</v>
      </c>
      <c r="E9810" s="8">
        <v>249</v>
      </c>
    </row>
    <row r="9811" s="3" customFormat="1" ht="18.75" spans="1:5">
      <c r="A9811" s="8" t="str">
        <f t="shared" si="169"/>
        <v>250038</v>
      </c>
      <c r="B9811" s="8" t="str">
        <f>"2561409015114"</f>
        <v>2561409015114</v>
      </c>
      <c r="C9811" s="8" t="s">
        <v>15</v>
      </c>
      <c r="D9811" s="9">
        <v>0</v>
      </c>
      <c r="E9811" s="8">
        <v>249</v>
      </c>
    </row>
    <row r="9812" s="3" customFormat="1" ht="18.75" spans="1:5">
      <c r="A9812" s="8" t="str">
        <f t="shared" si="169"/>
        <v>250038</v>
      </c>
      <c r="B9812" s="8" t="str">
        <f>"2561409015117"</f>
        <v>2561409015117</v>
      </c>
      <c r="C9812" s="8" t="s">
        <v>15</v>
      </c>
      <c r="D9812" s="9">
        <v>0</v>
      </c>
      <c r="E9812" s="8">
        <v>249</v>
      </c>
    </row>
    <row r="9813" s="3" customFormat="1" ht="18.75" spans="1:5">
      <c r="A9813" s="8" t="str">
        <f t="shared" si="169"/>
        <v>250038</v>
      </c>
      <c r="B9813" s="8" t="str">
        <f>"2561409015121"</f>
        <v>2561409015121</v>
      </c>
      <c r="C9813" s="8" t="s">
        <v>15</v>
      </c>
      <c r="D9813" s="9">
        <v>0</v>
      </c>
      <c r="E9813" s="8">
        <v>249</v>
      </c>
    </row>
    <row r="9814" s="3" customFormat="1" ht="18.75" spans="1:5">
      <c r="A9814" s="8" t="str">
        <f t="shared" si="169"/>
        <v>250038</v>
      </c>
      <c r="B9814" s="8" t="str">
        <f>"2561409015124"</f>
        <v>2561409015124</v>
      </c>
      <c r="C9814" s="8" t="s">
        <v>15</v>
      </c>
      <c r="D9814" s="9">
        <v>0</v>
      </c>
      <c r="E9814" s="8">
        <v>249</v>
      </c>
    </row>
    <row r="9815" s="3" customFormat="1" ht="18.75" spans="1:5">
      <c r="A9815" s="8" t="str">
        <f t="shared" si="169"/>
        <v>250038</v>
      </c>
      <c r="B9815" s="8" t="str">
        <f>"2561409015128"</f>
        <v>2561409015128</v>
      </c>
      <c r="C9815" s="8" t="s">
        <v>15</v>
      </c>
      <c r="D9815" s="9">
        <v>0</v>
      </c>
      <c r="E9815" s="8">
        <v>249</v>
      </c>
    </row>
    <row r="9816" s="3" customFormat="1" ht="18.75" spans="1:5">
      <c r="A9816" s="8" t="str">
        <f t="shared" si="169"/>
        <v>250038</v>
      </c>
      <c r="B9816" s="8" t="str">
        <f>"2561409015204"</f>
        <v>2561409015204</v>
      </c>
      <c r="C9816" s="8" t="s">
        <v>15</v>
      </c>
      <c r="D9816" s="9">
        <v>0</v>
      </c>
      <c r="E9816" s="8">
        <v>249</v>
      </c>
    </row>
    <row r="9817" s="3" customFormat="1" ht="18.75" spans="1:5">
      <c r="A9817" s="8" t="str">
        <f t="shared" si="169"/>
        <v>250038</v>
      </c>
      <c r="B9817" s="8" t="str">
        <f>"2561409015206"</f>
        <v>2561409015206</v>
      </c>
      <c r="C9817" s="8" t="s">
        <v>15</v>
      </c>
      <c r="D9817" s="9">
        <v>0</v>
      </c>
      <c r="E9817" s="8">
        <v>249</v>
      </c>
    </row>
    <row r="9818" s="3" customFormat="1" ht="18.75" spans="1:5">
      <c r="A9818" s="8" t="str">
        <f t="shared" si="169"/>
        <v>250038</v>
      </c>
      <c r="B9818" s="8" t="str">
        <f>"2561409015207"</f>
        <v>2561409015207</v>
      </c>
      <c r="C9818" s="8" t="s">
        <v>15</v>
      </c>
      <c r="D9818" s="9">
        <v>0</v>
      </c>
      <c r="E9818" s="8">
        <v>249</v>
      </c>
    </row>
    <row r="9819" s="3" customFormat="1" ht="18.75" spans="1:5">
      <c r="A9819" s="8" t="str">
        <f t="shared" si="169"/>
        <v>250038</v>
      </c>
      <c r="B9819" s="8" t="str">
        <f>"2561409015208"</f>
        <v>2561409015208</v>
      </c>
      <c r="C9819" s="8" t="s">
        <v>15</v>
      </c>
      <c r="D9819" s="9">
        <v>0</v>
      </c>
      <c r="E9819" s="8">
        <v>249</v>
      </c>
    </row>
    <row r="9820" s="3" customFormat="1" ht="18.75" spans="1:5">
      <c r="A9820" s="8" t="str">
        <f t="shared" si="169"/>
        <v>250038</v>
      </c>
      <c r="B9820" s="8" t="str">
        <f>"2561409015209"</f>
        <v>2561409015209</v>
      </c>
      <c r="C9820" s="8" t="s">
        <v>15</v>
      </c>
      <c r="D9820" s="9">
        <v>0</v>
      </c>
      <c r="E9820" s="8">
        <v>249</v>
      </c>
    </row>
    <row r="9821" s="3" customFormat="1" ht="18.75" spans="1:5">
      <c r="A9821" s="8" t="str">
        <f t="shared" si="169"/>
        <v>250038</v>
      </c>
      <c r="B9821" s="8" t="str">
        <f>"2561409015212"</f>
        <v>2561409015212</v>
      </c>
      <c r="C9821" s="8" t="s">
        <v>15</v>
      </c>
      <c r="D9821" s="9">
        <v>0</v>
      </c>
      <c r="E9821" s="8">
        <v>249</v>
      </c>
    </row>
    <row r="9822" s="3" customFormat="1" ht="18.75" spans="1:5">
      <c r="A9822" s="8" t="str">
        <f t="shared" si="169"/>
        <v>250038</v>
      </c>
      <c r="B9822" s="8" t="str">
        <f>"2561409015214"</f>
        <v>2561409015214</v>
      </c>
      <c r="C9822" s="8" t="s">
        <v>15</v>
      </c>
      <c r="D9822" s="9">
        <v>0</v>
      </c>
      <c r="E9822" s="8">
        <v>249</v>
      </c>
    </row>
    <row r="9823" s="3" customFormat="1" ht="18.75" spans="1:5">
      <c r="A9823" s="8" t="str">
        <f t="shared" si="169"/>
        <v>250038</v>
      </c>
      <c r="B9823" s="8" t="str">
        <f>"2561409015215"</f>
        <v>2561409015215</v>
      </c>
      <c r="C9823" s="8" t="s">
        <v>15</v>
      </c>
      <c r="D9823" s="9">
        <v>0</v>
      </c>
      <c r="E9823" s="8">
        <v>249</v>
      </c>
    </row>
    <row r="9824" s="3" customFormat="1" ht="18.75" spans="1:5">
      <c r="A9824" s="8" t="str">
        <f t="shared" si="169"/>
        <v>250038</v>
      </c>
      <c r="B9824" s="8" t="str">
        <f>"2561409015221"</f>
        <v>2561409015221</v>
      </c>
      <c r="C9824" s="8" t="s">
        <v>15</v>
      </c>
      <c r="D9824" s="9">
        <v>0</v>
      </c>
      <c r="E9824" s="8">
        <v>249</v>
      </c>
    </row>
    <row r="9825" s="3" customFormat="1" ht="18.75" spans="1:5">
      <c r="A9825" s="8" t="str">
        <f t="shared" si="169"/>
        <v>250038</v>
      </c>
      <c r="B9825" s="8" t="str">
        <f>"2561409015226"</f>
        <v>2561409015226</v>
      </c>
      <c r="C9825" s="8" t="s">
        <v>15</v>
      </c>
      <c r="D9825" s="9">
        <v>0</v>
      </c>
      <c r="E9825" s="8">
        <v>249</v>
      </c>
    </row>
    <row r="9826" s="3" customFormat="1" ht="18.75" spans="1:5">
      <c r="A9826" s="8" t="str">
        <f t="shared" si="169"/>
        <v>250038</v>
      </c>
      <c r="B9826" s="8" t="str">
        <f>"2561409015302"</f>
        <v>2561409015302</v>
      </c>
      <c r="C9826" s="8" t="s">
        <v>15</v>
      </c>
      <c r="D9826" s="9">
        <v>0</v>
      </c>
      <c r="E9826" s="8">
        <v>249</v>
      </c>
    </row>
    <row r="9827" s="3" customFormat="1" ht="18.75" spans="1:5">
      <c r="A9827" s="8" t="str">
        <f t="shared" si="169"/>
        <v>250038</v>
      </c>
      <c r="B9827" s="8" t="str">
        <f>"2561409015305"</f>
        <v>2561409015305</v>
      </c>
      <c r="C9827" s="8" t="s">
        <v>15</v>
      </c>
      <c r="D9827" s="9">
        <v>0</v>
      </c>
      <c r="E9827" s="8">
        <v>249</v>
      </c>
    </row>
    <row r="9828" s="3" customFormat="1" ht="18.75" spans="1:5">
      <c r="A9828" s="8" t="str">
        <f t="shared" si="169"/>
        <v>250038</v>
      </c>
      <c r="B9828" s="8" t="str">
        <f>"2561409015306"</f>
        <v>2561409015306</v>
      </c>
      <c r="C9828" s="8" t="s">
        <v>15</v>
      </c>
      <c r="D9828" s="9">
        <v>0</v>
      </c>
      <c r="E9828" s="8">
        <v>249</v>
      </c>
    </row>
    <row r="9829" s="3" customFormat="1" ht="18.75" spans="1:5">
      <c r="A9829" s="8" t="str">
        <f t="shared" si="169"/>
        <v>250038</v>
      </c>
      <c r="B9829" s="8" t="str">
        <f>"2561409015308"</f>
        <v>2561409015308</v>
      </c>
      <c r="C9829" s="8" t="s">
        <v>15</v>
      </c>
      <c r="D9829" s="9">
        <v>0</v>
      </c>
      <c r="E9829" s="8">
        <v>249</v>
      </c>
    </row>
    <row r="9830" s="3" customFormat="1" ht="18.75" spans="1:5">
      <c r="A9830" s="8" t="str">
        <f t="shared" ref="A9830:A9846" si="170">"250038"</f>
        <v>250038</v>
      </c>
      <c r="B9830" s="8" t="str">
        <f>"2561409015313"</f>
        <v>2561409015313</v>
      </c>
      <c r="C9830" s="8" t="s">
        <v>15</v>
      </c>
      <c r="D9830" s="9">
        <v>0</v>
      </c>
      <c r="E9830" s="8">
        <v>249</v>
      </c>
    </row>
    <row r="9831" s="3" customFormat="1" ht="18.75" spans="1:5">
      <c r="A9831" s="8" t="str">
        <f t="shared" si="170"/>
        <v>250038</v>
      </c>
      <c r="B9831" s="8" t="str">
        <f>"2561409015314"</f>
        <v>2561409015314</v>
      </c>
      <c r="C9831" s="8" t="s">
        <v>15</v>
      </c>
      <c r="D9831" s="9">
        <v>0</v>
      </c>
      <c r="E9831" s="8">
        <v>249</v>
      </c>
    </row>
    <row r="9832" s="3" customFormat="1" ht="18.75" spans="1:5">
      <c r="A9832" s="8" t="str">
        <f t="shared" si="170"/>
        <v>250038</v>
      </c>
      <c r="B9832" s="8" t="str">
        <f>"2561409015315"</f>
        <v>2561409015315</v>
      </c>
      <c r="C9832" s="8" t="s">
        <v>15</v>
      </c>
      <c r="D9832" s="9">
        <v>0</v>
      </c>
      <c r="E9832" s="8">
        <v>249</v>
      </c>
    </row>
    <row r="9833" s="3" customFormat="1" ht="18.75" spans="1:5">
      <c r="A9833" s="8" t="str">
        <f t="shared" si="170"/>
        <v>250038</v>
      </c>
      <c r="B9833" s="8" t="str">
        <f>"2561409015316"</f>
        <v>2561409015316</v>
      </c>
      <c r="C9833" s="8" t="s">
        <v>15</v>
      </c>
      <c r="D9833" s="9">
        <v>0</v>
      </c>
      <c r="E9833" s="8">
        <v>249</v>
      </c>
    </row>
    <row r="9834" s="3" customFormat="1" ht="18.75" spans="1:5">
      <c r="A9834" s="8" t="str">
        <f t="shared" si="170"/>
        <v>250038</v>
      </c>
      <c r="B9834" s="8" t="str">
        <f>"2561409015319"</f>
        <v>2561409015319</v>
      </c>
      <c r="C9834" s="8" t="s">
        <v>15</v>
      </c>
      <c r="D9834" s="9">
        <v>0</v>
      </c>
      <c r="E9834" s="8">
        <v>249</v>
      </c>
    </row>
    <row r="9835" s="3" customFormat="1" ht="18.75" spans="1:5">
      <c r="A9835" s="8" t="str">
        <f t="shared" si="170"/>
        <v>250038</v>
      </c>
      <c r="B9835" s="8" t="str">
        <f>"2561409015321"</f>
        <v>2561409015321</v>
      </c>
      <c r="C9835" s="8" t="s">
        <v>15</v>
      </c>
      <c r="D9835" s="9">
        <v>0</v>
      </c>
      <c r="E9835" s="8">
        <v>249</v>
      </c>
    </row>
    <row r="9836" s="3" customFormat="1" ht="18.75" spans="1:5">
      <c r="A9836" s="8" t="str">
        <f t="shared" si="170"/>
        <v>250038</v>
      </c>
      <c r="B9836" s="8" t="str">
        <f>"2561409015328"</f>
        <v>2561409015328</v>
      </c>
      <c r="C9836" s="8" t="s">
        <v>15</v>
      </c>
      <c r="D9836" s="9">
        <v>0</v>
      </c>
      <c r="E9836" s="8">
        <v>249</v>
      </c>
    </row>
    <row r="9837" s="3" customFormat="1" ht="18.75" spans="1:5">
      <c r="A9837" s="8" t="str">
        <f t="shared" si="170"/>
        <v>250038</v>
      </c>
      <c r="B9837" s="8" t="str">
        <f>"2561409015403"</f>
        <v>2561409015403</v>
      </c>
      <c r="C9837" s="8" t="s">
        <v>15</v>
      </c>
      <c r="D9837" s="9">
        <v>0</v>
      </c>
      <c r="E9837" s="8">
        <v>249</v>
      </c>
    </row>
    <row r="9838" s="3" customFormat="1" ht="18.75" spans="1:5">
      <c r="A9838" s="8" t="str">
        <f t="shared" si="170"/>
        <v>250038</v>
      </c>
      <c r="B9838" s="8" t="str">
        <f>"2561409015406"</f>
        <v>2561409015406</v>
      </c>
      <c r="C9838" s="8" t="s">
        <v>15</v>
      </c>
      <c r="D9838" s="9">
        <v>0</v>
      </c>
      <c r="E9838" s="8">
        <v>249</v>
      </c>
    </row>
    <row r="9839" s="3" customFormat="1" ht="18.75" spans="1:5">
      <c r="A9839" s="8" t="str">
        <f t="shared" si="170"/>
        <v>250038</v>
      </c>
      <c r="B9839" s="8" t="str">
        <f>"2561409015407"</f>
        <v>2561409015407</v>
      </c>
      <c r="C9839" s="8" t="s">
        <v>15</v>
      </c>
      <c r="D9839" s="9">
        <v>0</v>
      </c>
      <c r="E9839" s="8">
        <v>249</v>
      </c>
    </row>
    <row r="9840" s="3" customFormat="1" ht="18.75" spans="1:5">
      <c r="A9840" s="8" t="str">
        <f t="shared" si="170"/>
        <v>250038</v>
      </c>
      <c r="B9840" s="8" t="str">
        <f>"2561409015408"</f>
        <v>2561409015408</v>
      </c>
      <c r="C9840" s="8" t="s">
        <v>15</v>
      </c>
      <c r="D9840" s="9">
        <v>0</v>
      </c>
      <c r="E9840" s="8">
        <v>249</v>
      </c>
    </row>
    <row r="9841" s="3" customFormat="1" ht="18.75" spans="1:5">
      <c r="A9841" s="8" t="str">
        <f t="shared" si="170"/>
        <v>250038</v>
      </c>
      <c r="B9841" s="8" t="str">
        <f>"2561409015409"</f>
        <v>2561409015409</v>
      </c>
      <c r="C9841" s="8" t="s">
        <v>15</v>
      </c>
      <c r="D9841" s="9">
        <v>0</v>
      </c>
      <c r="E9841" s="8">
        <v>249</v>
      </c>
    </row>
    <row r="9842" s="3" customFormat="1" ht="18.75" spans="1:5">
      <c r="A9842" s="8" t="str">
        <f t="shared" si="170"/>
        <v>250038</v>
      </c>
      <c r="B9842" s="8" t="str">
        <f>"2561409015410"</f>
        <v>2561409015410</v>
      </c>
      <c r="C9842" s="8" t="s">
        <v>15</v>
      </c>
      <c r="D9842" s="9">
        <v>0</v>
      </c>
      <c r="E9842" s="8">
        <v>249</v>
      </c>
    </row>
    <row r="9843" s="3" customFormat="1" ht="18.75" spans="1:5">
      <c r="A9843" s="8" t="str">
        <f t="shared" si="170"/>
        <v>250038</v>
      </c>
      <c r="B9843" s="8" t="str">
        <f>"2561409015413"</f>
        <v>2561409015413</v>
      </c>
      <c r="C9843" s="8" t="s">
        <v>15</v>
      </c>
      <c r="D9843" s="9">
        <v>0</v>
      </c>
      <c r="E9843" s="8">
        <v>249</v>
      </c>
    </row>
    <row r="9844" s="3" customFormat="1" ht="18.75" spans="1:5">
      <c r="A9844" s="8" t="str">
        <f t="shared" si="170"/>
        <v>250038</v>
      </c>
      <c r="B9844" s="8" t="str">
        <f>"2561409015415"</f>
        <v>2561409015415</v>
      </c>
      <c r="C9844" s="8" t="s">
        <v>15</v>
      </c>
      <c r="D9844" s="9">
        <v>0</v>
      </c>
      <c r="E9844" s="8">
        <v>249</v>
      </c>
    </row>
    <row r="9845" s="3" customFormat="1" ht="18.75" spans="1:5">
      <c r="A9845" s="8" t="str">
        <f t="shared" si="170"/>
        <v>250038</v>
      </c>
      <c r="B9845" s="8" t="str">
        <f>"2561409015422"</f>
        <v>2561409015422</v>
      </c>
      <c r="C9845" s="8" t="s">
        <v>15</v>
      </c>
      <c r="D9845" s="9">
        <v>0</v>
      </c>
      <c r="E9845" s="8">
        <v>249</v>
      </c>
    </row>
    <row r="9846" s="3" customFormat="1" ht="18.75" spans="1:5">
      <c r="A9846" s="8" t="str">
        <f t="shared" si="170"/>
        <v>250038</v>
      </c>
      <c r="B9846" s="8" t="str">
        <f>"2561409015423"</f>
        <v>2561409015423</v>
      </c>
      <c r="C9846" s="8" t="s">
        <v>15</v>
      </c>
      <c r="D9846" s="9">
        <v>0</v>
      </c>
      <c r="E9846" s="8">
        <v>249</v>
      </c>
    </row>
  </sheetData>
  <autoFilter xmlns:etc="http://www.wps.cn/officeDocument/2017/etCustomData" ref="A3:E9846" etc:filterBottomFollowUsedRange="0">
    <sortState ref="A3:E9846">
      <sortCondition ref="A3:A9845"/>
      <sortCondition ref="E3:E9845"/>
    </sortState>
    <extLst/>
  </autoFilter>
  <sortState ref="A2:O9812">
    <sortCondition ref="B2"/>
  </sortState>
  <mergeCells count="1">
    <mergeCell ref="A2:E2"/>
  </mergeCells>
  <pageMargins left="0.66875" right="0.432638888888889" top="0.393055555555556" bottom="0.590277777777778" header="0.314583333333333" footer="0.314583333333333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2025-06-09T02:50:00Z</dcterms:created>
  <dcterms:modified xsi:type="dcterms:W3CDTF">2025-06-26T15:52:39Z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2A13D7ED57F1101547FC5C6839CCC689_43</vt:lpwstr>
  </property>
  <property fmtid="{D5CDD505-2E9C-101B-9397-08002B2CF9AE}" pid="3" name="KSOProductBuildVer">
    <vt:lpwstr>2052-12.8.2.1119</vt:lpwstr>
  </property>
</Properties>
</file>